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activeTab="1"/>
  </bookViews>
  <sheets>
    <sheet name="Investicija" sheetId="1" r:id="rId1"/>
    <sheet name="Amortizacijski načrt" sheetId="2" r:id="rId2"/>
    <sheet name="STANJE" sheetId="3" r:id="rId3"/>
    <sheet name="USPEH" sheetId="4" r:id="rId4"/>
    <sheet name="EK-TOK" sheetId="5" r:id="rId5"/>
    <sheet name="LIKVID-TOK" sheetId="6" r:id="rId6"/>
  </sheets>
  <definedNames>
    <definedName name="I.leto">'USPEH'!#REF!</definedName>
    <definedName name="II.leto">'USPEH'!#REF!</definedName>
    <definedName name="III.leto">'USPEH'!#REF!</definedName>
    <definedName name="Investicija">'EK-TOK'!$C$33:$C$33</definedName>
    <definedName name="Investicujski_odhodki">'EK-TOK'!$A$33:$C$33</definedName>
    <definedName name="ISD">'EK-TOK'!$C$29</definedName>
    <definedName name="IV.leto">'USPEH'!#REF!</definedName>
    <definedName name="IX.leto">'USPEH'!#REF!</definedName>
    <definedName name="Kumulativa1">'LIKVID-TOK'!#REF!</definedName>
    <definedName name="Kumulativa10">'LIKVID-TOK'!#REF!</definedName>
    <definedName name="Kumulativa2">'LIKVID-TOK'!#REF!</definedName>
    <definedName name="Kumulativa3">'LIKVID-TOK'!#REF!</definedName>
    <definedName name="Kumulativa4">'LIKVID-TOK'!#REF!</definedName>
    <definedName name="Kumulativa5">'LIKVID-TOK'!#REF!</definedName>
    <definedName name="Kumulativa6">'LIKVID-TOK'!#REF!</definedName>
    <definedName name="Kumulativa7">'LIKVID-TOK'!#REF!</definedName>
    <definedName name="Kumulativa8">'LIKVID-TOK'!#REF!</definedName>
    <definedName name="Kumulativa9">'LIKVID-TOK'!#REF!</definedName>
    <definedName name="Leto1">'EK-TOK'!$B$26</definedName>
    <definedName name="Leto10">'EK-TOK'!#REF!</definedName>
    <definedName name="Leto2">'EK-TOK'!$C$26</definedName>
    <definedName name="Leto3">'EK-TOK'!$D$26</definedName>
    <definedName name="Leto4">'EK-TOK'!$E$26</definedName>
    <definedName name="Leto5">'EK-TOK'!$F$26</definedName>
    <definedName name="Leto6">'EK-TOK'!$G$26</definedName>
    <definedName name="Leto7">'EK-TOK'!$H$26</definedName>
    <definedName name="Leto8">'EK-TOK'!#REF!</definedName>
    <definedName name="Leto9">'EK-TOK'!#REF!</definedName>
    <definedName name="NSV">'EK-TOK'!$C$28</definedName>
    <definedName name="Odhodki_ET">'EK-TOK'!$C$32</definedName>
    <definedName name="Odhodki_IU">'USPEH'!#REF!</definedName>
    <definedName name="Odhodki_LT">'LIKVID-TOK'!#REF!</definedName>
    <definedName name="_xlnm.Print_Area" localSheetId="1">'Amortizacijski načrt'!$A$1:$F$28</definedName>
    <definedName name="_xlnm.Print_Area" localSheetId="4">'EK-TOK'!$A$1:$P$43</definedName>
    <definedName name="_xlnm.Print_Area" localSheetId="0">'Investicija'!$A$1:$G$29</definedName>
    <definedName name="_xlnm.Print_Area" localSheetId="5">'LIKVID-TOK'!$A$1:$Q$40</definedName>
    <definedName name="_xlnm.Print_Area" localSheetId="2">'STANJE'!$A$1:$Q$48</definedName>
    <definedName name="_xlnm.Print_Area" localSheetId="3">'USPEH'!$A$1:$Q$36</definedName>
    <definedName name="Prihodki_ET">'EK-TOK'!$C$31</definedName>
    <definedName name="Prihodki_IU">'USPEH'!#REF!</definedName>
    <definedName name="Prihodki_LT">'LIKVID-TOK'!#REF!</definedName>
    <definedName name="Priliv1">'LIKVID-TOK'!#REF!</definedName>
    <definedName name="Priliv10">'LIKVID-TOK'!#REF!</definedName>
    <definedName name="Priliv2">'LIKVID-TOK'!#REF!</definedName>
    <definedName name="Priliv3">'LIKVID-TOK'!#REF!</definedName>
    <definedName name="Priliv4">'LIKVID-TOK'!#REF!</definedName>
    <definedName name="Priliv5">'LIKVID-TOK'!#REF!</definedName>
    <definedName name="Priliv6">'LIKVID-TOK'!#REF!</definedName>
    <definedName name="Priliv7">'LIKVID-TOK'!#REF!</definedName>
    <definedName name="Priliv8">'LIKVID-TOK'!#REF!</definedName>
    <definedName name="Priliv9">'LIKVID-TOK'!#REF!</definedName>
    <definedName name="_xlnm.Print_Titles" localSheetId="1">'Amortizacijski načrt'!$17:$17</definedName>
    <definedName name="V.leto">'USPEH'!#REF!</definedName>
    <definedName name="VI.leto">'USPEH'!#REF!</definedName>
    <definedName name="VII.leto">'USPEH'!#REF!</definedName>
    <definedName name="VIII.leto">'USPEH'!#REF!</definedName>
    <definedName name="X.leto">'USPEH'!#REF!</definedName>
  </definedNames>
  <calcPr fullCalcOnLoad="1"/>
</workbook>
</file>

<file path=xl/comments5.xml><?xml version="1.0" encoding="utf-8"?>
<comments xmlns="http://schemas.openxmlformats.org/spreadsheetml/2006/main">
  <authors>
    <author>DUNJA KERSIC</author>
  </authors>
  <commentList>
    <comment ref="A10" authorId="0">
      <text>
        <r>
          <rPr>
            <b/>
            <sz val="8"/>
            <rFont val="Tahoma"/>
            <family val="0"/>
          </rPr>
          <t>DUNJA KERSIC: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Vstavi vrednosti iz terminskega plana investiranja
</t>
        </r>
      </text>
    </comment>
    <comment ref="A11" authorId="0">
      <text>
        <r>
          <rPr>
            <b/>
            <sz val="8"/>
            <rFont val="Tahoma"/>
            <family val="0"/>
          </rPr>
          <t>DUNJA KERSIC: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Vstavi vrednosti iz terminskega plana investiranja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DUNJA KERSIC</author>
  </authors>
  <commentList>
    <comment ref="B9" authorId="0">
      <text>
        <r>
          <rPr>
            <b/>
            <sz val="9"/>
            <rFont val="Tahoma"/>
            <family val="2"/>
          </rPr>
          <t>DUNJA KERSIC:</t>
        </r>
        <r>
          <rPr>
            <sz val="9"/>
            <rFont val="Tahoma"/>
            <family val="2"/>
          </rPr>
          <t xml:space="preserve">
Izredne prihodke zmanjšaj za znesek za odpravo dolgoročnih rezervacij
</t>
        </r>
      </text>
    </comment>
    <comment ref="B12" authorId="0">
      <text>
        <r>
          <rPr>
            <b/>
            <sz val="8"/>
            <rFont val="Tahoma"/>
            <family val="0"/>
          </rPr>
          <t>DUNJA KERSIC: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Ni upoštevana amortizacija</t>
        </r>
      </text>
    </comment>
    <comment ref="B17" authorId="0">
      <text>
        <r>
          <rPr>
            <b/>
            <sz val="8"/>
            <rFont val="Tahoma"/>
            <family val="0"/>
          </rPr>
          <t>DUNJA KERSIC: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Prištej izplačane dividende</t>
        </r>
      </text>
    </comment>
    <comment ref="B30" authorId="0">
      <text>
        <r>
          <rPr>
            <b/>
            <sz val="8"/>
            <rFont val="Tahoma"/>
            <family val="0"/>
          </rPr>
          <t>DUNJA KERSIC:</t>
        </r>
        <r>
          <rPr>
            <sz val="8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Ni upoštevana amortizacija</t>
        </r>
      </text>
    </comment>
    <comment ref="B35" authorId="0">
      <text>
        <r>
          <rPr>
            <b/>
            <sz val="9"/>
            <rFont val="Tahoma"/>
            <family val="2"/>
          </rPr>
          <t>DUNJA KERSIC:</t>
        </r>
        <r>
          <rPr>
            <sz val="9"/>
            <rFont val="Tahoma"/>
            <family val="2"/>
          </rPr>
          <t xml:space="preserve">
Popravek kapitala+izplačane dividende</t>
        </r>
      </text>
    </comment>
  </commentList>
</comments>
</file>

<file path=xl/sharedStrings.xml><?xml version="1.0" encoding="utf-8"?>
<sst xmlns="http://schemas.openxmlformats.org/spreadsheetml/2006/main" count="306" uniqueCount="236">
  <si>
    <t>Amortizacijski načrt</t>
  </si>
  <si>
    <t>Letna obrestna mera:</t>
  </si>
  <si>
    <t>Kapitalizacija:</t>
  </si>
  <si>
    <t>Relativna obrestna mera:</t>
  </si>
  <si>
    <t>Konformna obrestna mera:</t>
  </si>
  <si>
    <t>Zapadlost 1. obroka:</t>
  </si>
  <si>
    <t>Obrok</t>
  </si>
  <si>
    <t>Anuiteta</t>
  </si>
  <si>
    <t>Obresti</t>
  </si>
  <si>
    <t>Razdolžnina</t>
  </si>
  <si>
    <t xml:space="preserve">BILANCA STANJA </t>
  </si>
  <si>
    <t xml:space="preserve">A. </t>
  </si>
  <si>
    <t>STALNA SREDSTVA</t>
  </si>
  <si>
    <t xml:space="preserve">I.   </t>
  </si>
  <si>
    <t>Neopredmet. dolgoroč. sredstva</t>
  </si>
  <si>
    <t xml:space="preserve">II. </t>
  </si>
  <si>
    <t>Opredmet. osnovna sredstva</t>
  </si>
  <si>
    <t>1.</t>
  </si>
  <si>
    <t>Nepremičnine</t>
  </si>
  <si>
    <t>2.</t>
  </si>
  <si>
    <t>Oprema in druga opred. os. sred.</t>
  </si>
  <si>
    <t xml:space="preserve">III. </t>
  </si>
  <si>
    <t>Dolgoročne finančne naložbe</t>
  </si>
  <si>
    <t xml:space="preserve">IV. </t>
  </si>
  <si>
    <t>Popravek kapitala</t>
  </si>
  <si>
    <t xml:space="preserve">B. </t>
  </si>
  <si>
    <t>GIBLJIVA SREDSTVA</t>
  </si>
  <si>
    <t xml:space="preserve">I. </t>
  </si>
  <si>
    <t>Zaloge</t>
  </si>
  <si>
    <t>Material</t>
  </si>
  <si>
    <t>Nedokončana proizvodnja</t>
  </si>
  <si>
    <t>3.</t>
  </si>
  <si>
    <t>Proizvodi</t>
  </si>
  <si>
    <t>4.</t>
  </si>
  <si>
    <t>Blago</t>
  </si>
  <si>
    <t xml:space="preserve">II.  </t>
  </si>
  <si>
    <t>Dolgoročne terjatve iz poslov.</t>
  </si>
  <si>
    <t>Kratkoročne terjatve iz poslov.</t>
  </si>
  <si>
    <t>Kratkoročne finančne naložbe</t>
  </si>
  <si>
    <t xml:space="preserve">V.  </t>
  </si>
  <si>
    <t>Denarna sredstva</t>
  </si>
  <si>
    <t xml:space="preserve">VI. </t>
  </si>
  <si>
    <t>Aktivne časovne razmejitve</t>
  </si>
  <si>
    <t xml:space="preserve">C. </t>
  </si>
  <si>
    <t>SREDSTVA</t>
  </si>
  <si>
    <t xml:space="preserve">Č. </t>
  </si>
  <si>
    <t>ZUNAJBILANČNA SREDSTVA</t>
  </si>
  <si>
    <t>KAPITAL</t>
  </si>
  <si>
    <t xml:space="preserve">I.  </t>
  </si>
  <si>
    <t>Osnovni kapital</t>
  </si>
  <si>
    <t>Vplačan presežek kapitala</t>
  </si>
  <si>
    <t>III.</t>
  </si>
  <si>
    <t>Rezerve</t>
  </si>
  <si>
    <t>Prenešeni čisti dobiček prejšnjih let</t>
  </si>
  <si>
    <t>V.</t>
  </si>
  <si>
    <t>Prenešena čista izguba prejšnjih let</t>
  </si>
  <si>
    <t xml:space="preserve">VI.  </t>
  </si>
  <si>
    <t xml:space="preserve">Revalorizac. popravek kapitala </t>
  </si>
  <si>
    <t xml:space="preserve">VII. </t>
  </si>
  <si>
    <t>Nerazdel. čisti dobiček posl. leta</t>
  </si>
  <si>
    <t>VIII.</t>
  </si>
  <si>
    <t>Čista izguba poslovnega leta</t>
  </si>
  <si>
    <t>DOLGOROČNE REZERVACIJE</t>
  </si>
  <si>
    <t>DOLGOROČNE OBVEZNOSTI</t>
  </si>
  <si>
    <t>I.</t>
  </si>
  <si>
    <t>Dolgoroč. obvez. iz poslovanja</t>
  </si>
  <si>
    <t>II.</t>
  </si>
  <si>
    <t>Dolgoroč. obvez. iz financiranja</t>
  </si>
  <si>
    <t>KRATKOROČNE OBVEZNOSTI</t>
  </si>
  <si>
    <t>Kratkoroč. obvez. iz poslovanja</t>
  </si>
  <si>
    <t>Kratkoroč. obvez. iz financiranja</t>
  </si>
  <si>
    <t xml:space="preserve">D. </t>
  </si>
  <si>
    <t>PASIVNE ČASOVNE RAZMEJITVE</t>
  </si>
  <si>
    <t xml:space="preserve">E. </t>
  </si>
  <si>
    <t>OBVEZNOSTI DO VIROV SRED.</t>
  </si>
  <si>
    <t xml:space="preserve">F. </t>
  </si>
  <si>
    <t>ZUNAJBILANČNE OBVEZNOSTI</t>
  </si>
  <si>
    <t xml:space="preserve">IZKAZ USPEHA </t>
  </si>
  <si>
    <t>ČISTI PRIHODKI IZ PRODAJE</t>
  </si>
  <si>
    <t>IV.</t>
  </si>
  <si>
    <t>POVEČ./ZMANJŠ. VRED. ZALOG</t>
  </si>
  <si>
    <t>VRED. USREDSTENIH PROIZ.</t>
  </si>
  <si>
    <t>DRUGI PRIHOD. IZ POSLOVANJA</t>
  </si>
  <si>
    <t>KOSMATI DONOS IZ POSLOVANJA</t>
  </si>
  <si>
    <t>STR. BLAGA, MATER. IN STORITEV</t>
  </si>
  <si>
    <t>Nabav. vred. prodanega blaga</t>
  </si>
  <si>
    <t>Stroški materiala</t>
  </si>
  <si>
    <t>Stroški storitev</t>
  </si>
  <si>
    <t xml:space="preserve">G. </t>
  </si>
  <si>
    <t>STROŠKI DELA</t>
  </si>
  <si>
    <t>Plače</t>
  </si>
  <si>
    <t>Stroški za socialno varnost</t>
  </si>
  <si>
    <t>Drugi stroški dela</t>
  </si>
  <si>
    <t xml:space="preserve">H. </t>
  </si>
  <si>
    <t>AMORTIZACIJA</t>
  </si>
  <si>
    <t>ODPISI OBRAT. SREDSTEV</t>
  </si>
  <si>
    <t xml:space="preserve">J. </t>
  </si>
  <si>
    <t>REZERVACIJE</t>
  </si>
  <si>
    <t xml:space="preserve">K. </t>
  </si>
  <si>
    <t>DRUGI ODHODKI POSLOVANJA</t>
  </si>
  <si>
    <t>L.M.</t>
  </si>
  <si>
    <t>DOBIČEK /IZGUBA IZ POSLOVANJA</t>
  </si>
  <si>
    <t>N.</t>
  </si>
  <si>
    <t>PRIHODKI OD FINANCIRANJA</t>
  </si>
  <si>
    <t>Prihod. na podlagi deležev iz dobička</t>
  </si>
  <si>
    <t>Prihod. iz obresti in dr. prihod. financ.</t>
  </si>
  <si>
    <t>O.</t>
  </si>
  <si>
    <t>ODPISI FINANČ. NALOŽB</t>
  </si>
  <si>
    <t>P.</t>
  </si>
  <si>
    <t>STR.OBR.IN DR.ODHOD. FINANC.</t>
  </si>
  <si>
    <t>R.S.</t>
  </si>
  <si>
    <t>DOBIČEK /IZGUBA IZ RED. DELOVANJA</t>
  </si>
  <si>
    <t>Š.</t>
  </si>
  <si>
    <t>IZREDNI PRIHODKI</t>
  </si>
  <si>
    <t>T.</t>
  </si>
  <si>
    <t>IZREDNI ODHODKI</t>
  </si>
  <si>
    <t>U.V.</t>
  </si>
  <si>
    <t>CELOTNI DOBIČEK/IZGUBA</t>
  </si>
  <si>
    <t>Z.</t>
  </si>
  <si>
    <t>Ž.X.</t>
  </si>
  <si>
    <t>ČISTI DOBIČEK/IZGUBA POSLOV.LETA</t>
  </si>
  <si>
    <t>ANALIZA OBČUTLJIVOSTI</t>
  </si>
  <si>
    <t>PRIHODKI</t>
  </si>
  <si>
    <t>I. PRILIVI SREDSTEV</t>
  </si>
  <si>
    <t xml:space="preserve">   Poslovni prihodki</t>
  </si>
  <si>
    <t xml:space="preserve">   Ostanek vrednosti projekta</t>
  </si>
  <si>
    <t>II. ODLIVI SREDSTEV</t>
  </si>
  <si>
    <t xml:space="preserve">   Investicija v osnovna sredstva</t>
  </si>
  <si>
    <t xml:space="preserve">   Investicija v obratna sredstva</t>
  </si>
  <si>
    <t xml:space="preserve">   Poslovni odhodki (brez amort.)</t>
  </si>
  <si>
    <t>III. PROSTI DENARNI TOK</t>
  </si>
  <si>
    <t>DISKONTNA STOPNJA</t>
  </si>
  <si>
    <t>NETO SEDANJA VREDNOST</t>
  </si>
  <si>
    <t>INTERNA STOPNJA DONOSNOSTI</t>
  </si>
  <si>
    <t xml:space="preserve">POSLOVNI ODHODKI </t>
  </si>
  <si>
    <t>INVEST. ODHODKI</t>
  </si>
  <si>
    <t>DAVKI</t>
  </si>
  <si>
    <t>PROSTI DENARNI TOK</t>
  </si>
  <si>
    <t>Prihodki ET</t>
  </si>
  <si>
    <t>Odhodki ET</t>
  </si>
  <si>
    <t>Trajanje:</t>
  </si>
  <si>
    <t>let</t>
  </si>
  <si>
    <t>Ostanek</t>
  </si>
  <si>
    <t>Datum zapadlosti</t>
  </si>
  <si>
    <t>ZAČETNO STANJE DENAR. SRED.</t>
  </si>
  <si>
    <t>PRITOKI</t>
  </si>
  <si>
    <t>Pritoki pri poslovni dejavnosti</t>
  </si>
  <si>
    <t>a</t>
  </si>
  <si>
    <t>Prihodki</t>
  </si>
  <si>
    <t>b</t>
  </si>
  <si>
    <t>Začet. manj konč. terjatve in akt.čas.raz.</t>
  </si>
  <si>
    <t>Pritoki pri invest. dejavnosti</t>
  </si>
  <si>
    <t>Pobot. zmanjšanje neopred. dolg. sred.</t>
  </si>
  <si>
    <t>Pobot. zmanjšanje opred. osnov. sred.</t>
  </si>
  <si>
    <t>c</t>
  </si>
  <si>
    <t>Pobot. zmanjšanje dolgoroč. fin. naložb</t>
  </si>
  <si>
    <t>č</t>
  </si>
  <si>
    <t>Pobot. zmanjšanje kratkoroč. fin. naložb</t>
  </si>
  <si>
    <t>Pritoki pri dejavnosti financiranja</t>
  </si>
  <si>
    <t>Povečanje kapitala</t>
  </si>
  <si>
    <t>Pobot. povečanje dolgoroč. rezervacij</t>
  </si>
  <si>
    <t>Pobot. povečanje dolgoroč. obvez. iz fin.</t>
  </si>
  <si>
    <t>Pobot. povečanje krtkoroč. obvez. iz fin.</t>
  </si>
  <si>
    <t>d</t>
  </si>
  <si>
    <t>Pobot. povečanje obvez. do last. iz dobič.</t>
  </si>
  <si>
    <t>I+II</t>
  </si>
  <si>
    <t>SKUPAJ</t>
  </si>
  <si>
    <t>ODTOKI</t>
  </si>
  <si>
    <t>Odtoki pri poslovni dejavnosti</t>
  </si>
  <si>
    <t>Odhod. brez amort. in dolgoroč. rezerv.</t>
  </si>
  <si>
    <t>Davki in deleži iz dobička (razen lastnik.)</t>
  </si>
  <si>
    <t>Končne manj začetne zaloge</t>
  </si>
  <si>
    <t>Začet. manj konč. obvez. in pas.čas.raz.</t>
  </si>
  <si>
    <t>Odtoki pri invest. dejavnosti</t>
  </si>
  <si>
    <t>Pobot. povečanje neopred. dolg. sred.</t>
  </si>
  <si>
    <t>Pobot. povečanje opred. osnov. sred.</t>
  </si>
  <si>
    <t>Pobot. povečanje dolgoroč. fin. naložb</t>
  </si>
  <si>
    <t>Pobot. povečanje kratkoroč. fin. naložb</t>
  </si>
  <si>
    <t>Odtoki pri dejavnosti financiranja</t>
  </si>
  <si>
    <t>Zmanjšanje kapitala</t>
  </si>
  <si>
    <t>Pobot. zmanjšanje dolgoroč. rezervacij</t>
  </si>
  <si>
    <t>Pobot. zmanjšanje dolgoroč. obvez. iz fin.</t>
  </si>
  <si>
    <t>Pobot. zmanjšanje krtkoroč. obvez. iz fin.</t>
  </si>
  <si>
    <t>Pobot. zmanjšanje obvez. do last. iz dobič.</t>
  </si>
  <si>
    <t>KONČNO STANJE DENAR. SRED.</t>
  </si>
  <si>
    <t xml:space="preserve">FINANČNI TOK </t>
  </si>
  <si>
    <t>Moratorij:</t>
  </si>
  <si>
    <t>INVESTICIJA</t>
  </si>
  <si>
    <t>Amort.st.</t>
  </si>
  <si>
    <t xml:space="preserve">   Davki </t>
  </si>
  <si>
    <t xml:space="preserve">EKONOMSKI TOK POSLOVANJA Z INVESTICIJO </t>
  </si>
  <si>
    <t>Str.</t>
  </si>
  <si>
    <t>Viri financiranja investicije</t>
  </si>
  <si>
    <t>A</t>
  </si>
  <si>
    <t>B</t>
  </si>
  <si>
    <t>C</t>
  </si>
  <si>
    <t>D</t>
  </si>
  <si>
    <t>E</t>
  </si>
  <si>
    <t>Povzetek scenarija</t>
  </si>
  <si>
    <t>Spreminjajoče se celice:</t>
  </si>
  <si>
    <t>Trenutne vrednosti:</t>
  </si>
  <si>
    <t>Celice z rezultati:</t>
  </si>
  <si>
    <t>Obr.mera</t>
  </si>
  <si>
    <t xml:space="preserve">DAVEK IZ DOBIČKA </t>
  </si>
  <si>
    <t>Amortizacija</t>
  </si>
  <si>
    <t>kontrola</t>
  </si>
  <si>
    <t>Mestna upravna zgradba v Mariboru</t>
  </si>
  <si>
    <t>Stroški zemljišča</t>
  </si>
  <si>
    <t>Vrednost v EUR</t>
  </si>
  <si>
    <t>Projektna dokumentacija</t>
  </si>
  <si>
    <t>Stroški financiranja</t>
  </si>
  <si>
    <t>Stroški izgradnje</t>
  </si>
  <si>
    <t>Stroški opreme</t>
  </si>
  <si>
    <t xml:space="preserve">Lastni viri </t>
  </si>
  <si>
    <t>Vrednost investicije</t>
  </si>
  <si>
    <t>Dinamika financiranja</t>
  </si>
  <si>
    <t>lastni viri</t>
  </si>
  <si>
    <t>tuji viri</t>
  </si>
  <si>
    <t>Vrednost EUR</t>
  </si>
  <si>
    <t>aktiviranje</t>
  </si>
  <si>
    <t>POSTAVKA (v EUR) / OBDOBJE</t>
  </si>
  <si>
    <t>v EUR</t>
  </si>
  <si>
    <t>POSTAVKA v EUR / OBDOBJE</t>
  </si>
  <si>
    <t>Predpostavka:</t>
  </si>
  <si>
    <t xml:space="preserve"> - amortizacija se reinvestira (ohranjena vrdnost projekta)</t>
  </si>
  <si>
    <t xml:space="preserve"> - anuitete se med letom poravnajo</t>
  </si>
  <si>
    <t>Najemnine</t>
  </si>
  <si>
    <t>Prihranki</t>
  </si>
  <si>
    <t>Prihodki_ET</t>
  </si>
  <si>
    <t>Odhodki_ET</t>
  </si>
  <si>
    <t>NSV</t>
  </si>
  <si>
    <t>ISD</t>
  </si>
  <si>
    <t>G</t>
  </si>
  <si>
    <t>Investicija</t>
  </si>
  <si>
    <t>Tuji viri - kredit</t>
  </si>
  <si>
    <t>Višina kredita v EUR:</t>
  </si>
</sst>
</file>

<file path=xl/styles.xml><?xml version="1.0" encoding="utf-8"?>
<styleSheet xmlns="http://schemas.openxmlformats.org/spreadsheetml/2006/main">
  <numFmts count="7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SIT&quot;#,##0_);\(&quot;SIT&quot;#,##0\)"/>
    <numFmt numFmtId="165" formatCode="&quot;SIT&quot;#,##0_);[Red]\(&quot;SIT&quot;#,##0\)"/>
    <numFmt numFmtId="166" formatCode="&quot;SIT&quot;#,##0.00_);\(&quot;SIT&quot;#,##0.00\)"/>
    <numFmt numFmtId="167" formatCode="&quot;SIT&quot;#,##0.00_);[Red]\(&quot;SIT&quot;#,##0.00\)"/>
    <numFmt numFmtId="168" formatCode="_(&quot;SIT&quot;* #,##0_);_(&quot;SIT&quot;* \(#,##0\);_(&quot;SIT&quot;* &quot;-&quot;_);_(@_)"/>
    <numFmt numFmtId="169" formatCode="_(* #,##0_);_(* \(#,##0\);_(* &quot;-&quot;_);_(@_)"/>
    <numFmt numFmtId="170" formatCode="_(&quot;SIT&quot;* #,##0.00_);_(&quot;SIT&quot;* \(#,##0.00\);_(&quot;SIT&quot;* &quot;-&quot;??_);_(@_)"/>
    <numFmt numFmtId="171" formatCode="_(* #,##0.00_);_(* \(#,##0.00\);_(* &quot;-&quot;??_);_(@_)"/>
    <numFmt numFmtId="172" formatCode="m/d/yy"/>
    <numFmt numFmtId="173" formatCode="0.0000000000000000%"/>
    <numFmt numFmtId="174" formatCode="#,##0&quot;SIT&quot;_);\(#,##0&quot;SIT&quot;\)"/>
    <numFmt numFmtId="175" formatCode="#,##0&quot;SIT&quot;_);[Red]\(#,##0&quot;SIT&quot;\)"/>
    <numFmt numFmtId="176" formatCode="#,##0.00&quot;SIT&quot;_);\(#,##0.00&quot;SIT&quot;\)"/>
    <numFmt numFmtId="177" formatCode="#,##0.00&quot;SIT&quot;_);[Red]\(#,##0.00&quot;SIT&quot;\)"/>
    <numFmt numFmtId="178" formatCode="_ * #,##0_)&quot;SIT&quot;_ ;_ * \(#,##0\)&quot;SIT&quot;_ ;_ * &quot;-&quot;_)&quot;SIT&quot;_ ;_ @_ "/>
    <numFmt numFmtId="179" formatCode="_ * #,##0_)_S_I_T_ ;_ * \(#,##0\)_S_I_T_ ;_ * &quot;-&quot;_)_S_I_T_ ;_ @_ "/>
    <numFmt numFmtId="180" formatCode="_ * #,##0.00_)&quot;SIT&quot;_ ;_ * \(#,##0.00\)&quot;SIT&quot;_ ;_ * &quot;-&quot;??_)&quot;SIT&quot;_ ;_ @_ "/>
    <numFmt numFmtId="181" formatCode="_ * #,##0.00_)_S_I_T_ ;_ * \(#,##0.00\)_S_I_T_ ;_ * &quot;-&quot;??_)_S_I_T_ ;_ @_ "/>
    <numFmt numFmtId="182" formatCode="0.0%"/>
    <numFmt numFmtId="183" formatCode="0.000%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_ * #,##0.000_)&quot;SIT&quot;_ ;_ * \(#,##0.000\)&quot;SIT&quot;_ ;_ * &quot;-&quot;??_)&quot;SIT&quot;_ ;_ @_ "/>
    <numFmt numFmtId="193" formatCode="_ * #,##0.0000_)&quot;SIT&quot;_ ;_ * \(#,##0.0000\)&quot;SIT&quot;_ ;_ * &quot;-&quot;??_)&quot;SIT&quot;_ ;_ @_ "/>
    <numFmt numFmtId="194" formatCode="_ * #,##0.0_)&quot;SIT&quot;_ ;_ * \(#,##0.0\)&quot;SIT&quot;_ ;_ * &quot;-&quot;??_)&quot;SIT&quot;_ ;_ @_ "/>
    <numFmt numFmtId="195" formatCode="_ * #,##0_)&quot;SIT&quot;_ ;_ * \(#,##0\)&quot;SIT&quot;_ ;_ * &quot;-&quot;??_)&quot;SIT&quot;_ ;_ @_ "/>
    <numFmt numFmtId="196" formatCode="0.0000%"/>
    <numFmt numFmtId="197" formatCode="0.00000%"/>
    <numFmt numFmtId="198" formatCode="0.000000%"/>
    <numFmt numFmtId="199" formatCode="0.0000000%"/>
    <numFmt numFmtId="200" formatCode="0.00000000%"/>
    <numFmt numFmtId="201" formatCode="#,##0.00\ &quot;SIT&quot;"/>
    <numFmt numFmtId="202" formatCode="0.000000000%"/>
    <numFmt numFmtId="203" formatCode="0.0000000000%"/>
    <numFmt numFmtId="204" formatCode="0.00000000000%"/>
    <numFmt numFmtId="205" formatCode="0.000000000000%"/>
    <numFmt numFmtId="206" formatCode="0.0000000000000%"/>
    <numFmt numFmtId="207" formatCode="0.00000000000000%"/>
    <numFmt numFmtId="208" formatCode="0.000000000000000%"/>
    <numFmt numFmtId="209" formatCode="#,##0.000\ &quot;SIT&quot;;[Red]\-#,##0.000\ &quot;SIT&quot;"/>
    <numFmt numFmtId="210" formatCode="#,##0.0\ &quot;SIT&quot;;[Red]\-#,##0.0\ &quot;SIT&quot;"/>
    <numFmt numFmtId="211" formatCode="#,##0.0"/>
    <numFmt numFmtId="212" formatCode="d/\ m/yyyy"/>
    <numFmt numFmtId="213" formatCode="d/\ m/\ yyyy"/>
    <numFmt numFmtId="214" formatCode="dd/\ dm/\ yyyy"/>
    <numFmt numFmtId="215" formatCode="dd/\ mm/\ yyyy"/>
    <numFmt numFmtId="216" formatCode="0_ ;[Red]\-0\ "/>
    <numFmt numFmtId="217" formatCode="#,##0_ ;[Red]\-#,##0\ "/>
    <numFmt numFmtId="218" formatCode="#,##0.0_ ;[Red]\-#,##0.0\ "/>
    <numFmt numFmtId="219" formatCode="#,##0.00_ ;[Red]\-#,##0.00\ "/>
    <numFmt numFmtId="220" formatCode="0.00_ ;[Red]\-0.00\ "/>
    <numFmt numFmtId="221" formatCode="d/\ m/\ yy"/>
    <numFmt numFmtId="222" formatCode="#,##0\ &quot;SIT&quot;"/>
    <numFmt numFmtId="223" formatCode="dd/mm/yyyy"/>
    <numFmt numFmtId="224" formatCode="&quot;True&quot;;&quot;True&quot;;&quot;False&quot;"/>
    <numFmt numFmtId="225" formatCode="&quot;On&quot;;&quot;On&quot;;&quot;Off&quot;"/>
    <numFmt numFmtId="226" formatCode="#,##0.000_ ;[Red]\-#,##0.000\ "/>
  </numFmts>
  <fonts count="2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sz val="12"/>
      <name val="Arial CE"/>
      <family val="2"/>
    </font>
    <font>
      <sz val="8"/>
      <name val="Helv"/>
      <family val="0"/>
    </font>
    <font>
      <b/>
      <i/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2"/>
    </font>
    <font>
      <b/>
      <sz val="9"/>
      <name val="Tahoma"/>
      <family val="2"/>
    </font>
    <font>
      <sz val="14"/>
      <name val="Arial CE"/>
      <family val="2"/>
    </font>
    <font>
      <sz val="14"/>
      <color indexed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sz val="10"/>
      <color indexed="23"/>
      <name val="Arial CE"/>
      <family val="2"/>
    </font>
    <font>
      <b/>
      <i/>
      <sz val="16"/>
      <color indexed="9"/>
      <name val="Arial"/>
      <family val="2"/>
    </font>
    <font>
      <b/>
      <sz val="11"/>
      <color indexed="9"/>
      <name val="Arial CE"/>
      <family val="0"/>
    </font>
    <font>
      <b/>
      <sz val="10"/>
      <color indexed="18"/>
      <name val="Arial CE"/>
      <family val="0"/>
    </font>
    <font>
      <sz val="9"/>
      <color indexed="9"/>
      <name val="Arial CE"/>
      <family val="0"/>
    </font>
    <font>
      <b/>
      <sz val="8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darkGray">
        <fgColor indexed="9"/>
        <bgColor indexed="9"/>
      </patternFill>
    </fill>
    <fill>
      <patternFill patternType="lightGray"/>
    </fill>
    <fill>
      <patternFill patternType="gray125">
        <fgColor indexed="9"/>
        <bgColor indexed="9"/>
      </patternFill>
    </fill>
    <fill>
      <patternFill patternType="gray0625"/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 horizontal="left"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217" fontId="5" fillId="0" borderId="0" xfId="0" applyNumberFormat="1" applyFont="1" applyAlignment="1" applyProtection="1">
      <alignment/>
      <protection locked="0"/>
    </xf>
    <xf numFmtId="217" fontId="5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221" fontId="0" fillId="0" borderId="0" xfId="17" applyNumberFormat="1" applyFont="1" applyBorder="1" applyProtection="1">
      <alignment/>
      <protection/>
    </xf>
    <xf numFmtId="4" fontId="2" fillId="0" borderId="0" xfId="17" applyNumberFormat="1" applyFont="1" applyProtection="1">
      <alignment/>
      <protection locked="0"/>
    </xf>
    <xf numFmtId="10" fontId="2" fillId="0" borderId="0" xfId="17" applyNumberFormat="1" applyFont="1" applyProtection="1">
      <alignment/>
      <protection locked="0"/>
    </xf>
    <xf numFmtId="0" fontId="2" fillId="0" borderId="0" xfId="17" applyFont="1" applyProtection="1">
      <alignment/>
      <protection locked="0"/>
    </xf>
    <xf numFmtId="0" fontId="0" fillId="0" borderId="0" xfId="17" applyProtection="1">
      <alignment/>
      <protection locked="0"/>
    </xf>
    <xf numFmtId="0" fontId="0" fillId="0" borderId="0" xfId="17" applyFont="1" applyProtection="1">
      <alignment/>
      <protection locked="0"/>
    </xf>
    <xf numFmtId="215" fontId="0" fillId="0" borderId="0" xfId="17" applyNumberFormat="1" applyFont="1" applyProtection="1">
      <alignment/>
      <protection locked="0"/>
    </xf>
    <xf numFmtId="0" fontId="3" fillId="0" borderId="0" xfId="17" applyFont="1" applyProtection="1">
      <alignment/>
      <protection locked="0"/>
    </xf>
    <xf numFmtId="4" fontId="0" fillId="0" borderId="0" xfId="17" applyNumberFormat="1" applyProtection="1">
      <alignment/>
      <protection locked="0"/>
    </xf>
    <xf numFmtId="0" fontId="1" fillId="0" borderId="0" xfId="17" applyFont="1" applyProtection="1">
      <alignment/>
      <protection locked="0"/>
    </xf>
    <xf numFmtId="8" fontId="0" fillId="0" borderId="0" xfId="17" applyNumberForma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4" fontId="2" fillId="0" borderId="0" xfId="19" applyNumberFormat="1" applyFont="1" applyAlignment="1" applyProtection="1">
      <alignment/>
      <protection locked="0"/>
    </xf>
    <xf numFmtId="173" fontId="0" fillId="0" borderId="0" xfId="19" applyNumberFormat="1" applyAlignment="1" applyProtection="1">
      <alignment/>
      <protection locked="0"/>
    </xf>
    <xf numFmtId="0" fontId="3" fillId="0" borderId="1" xfId="17" applyFont="1" applyBorder="1" applyProtection="1">
      <alignment/>
      <protection locked="0"/>
    </xf>
    <xf numFmtId="0" fontId="3" fillId="0" borderId="1" xfId="17" applyFont="1" applyBorder="1" applyAlignment="1" applyProtection="1">
      <alignment horizontal="center"/>
      <protection locked="0"/>
    </xf>
    <xf numFmtId="0" fontId="3" fillId="0" borderId="1" xfId="17" applyFont="1" applyBorder="1" applyAlignment="1" applyProtection="1">
      <alignment horizontal="center"/>
      <protection locked="0"/>
    </xf>
    <xf numFmtId="0" fontId="3" fillId="0" borderId="0" xfId="17" applyFont="1" applyBorder="1" applyProtection="1">
      <alignment/>
      <protection locked="0"/>
    </xf>
    <xf numFmtId="4" fontId="0" fillId="0" borderId="0" xfId="17" applyNumberFormat="1" applyBorder="1" applyProtection="1">
      <alignment/>
      <protection locked="0"/>
    </xf>
    <xf numFmtId="10" fontId="0" fillId="0" borderId="0" xfId="19" applyNumberFormat="1" applyAlignment="1" applyProtection="1">
      <alignment/>
      <protection/>
    </xf>
    <xf numFmtId="4" fontId="0" fillId="0" borderId="0" xfId="17" applyNumberFormat="1" applyBorder="1" applyProtection="1">
      <alignment/>
      <protection/>
    </xf>
    <xf numFmtId="0" fontId="3" fillId="0" borderId="0" xfId="17" applyFont="1" applyBorder="1" applyProtection="1">
      <alignment/>
      <protection/>
    </xf>
    <xf numFmtId="217" fontId="5" fillId="0" borderId="0" xfId="0" applyNumberFormat="1" applyFont="1" applyFill="1" applyBorder="1" applyAlignment="1" applyProtection="1">
      <alignment/>
      <protection locked="0"/>
    </xf>
    <xf numFmtId="0" fontId="3" fillId="0" borderId="1" xfId="17" applyFont="1" applyBorder="1" applyProtection="1">
      <alignment/>
      <protection/>
    </xf>
    <xf numFmtId="221" fontId="0" fillId="0" borderId="1" xfId="17" applyNumberFormat="1" applyFont="1" applyBorder="1" applyProtection="1">
      <alignment/>
      <protection/>
    </xf>
    <xf numFmtId="4" fontId="0" fillId="0" borderId="1" xfId="17" applyNumberFormat="1" applyBorder="1" applyProtection="1">
      <alignment/>
      <protection/>
    </xf>
    <xf numFmtId="0" fontId="0" fillId="0" borderId="0" xfId="17" applyFont="1" applyProtection="1">
      <alignment/>
      <protection locked="0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 applyProtection="1">
      <alignment/>
      <protection locked="0"/>
    </xf>
    <xf numFmtId="3" fontId="1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0" xfId="0" applyNumberFormat="1" applyFont="1" applyAlignment="1">
      <alignment horizontal="center"/>
    </xf>
    <xf numFmtId="14" fontId="2" fillId="0" borderId="0" xfId="19" applyNumberFormat="1" applyFont="1" applyAlignment="1" applyProtection="1">
      <alignment horizontal="right"/>
      <protection locked="0"/>
    </xf>
    <xf numFmtId="4" fontId="7" fillId="0" borderId="0" xfId="0" applyNumberFormat="1" applyFont="1" applyAlignment="1">
      <alignment/>
    </xf>
    <xf numFmtId="4" fontId="7" fillId="0" borderId="1" xfId="0" applyNumberFormat="1" applyFont="1" applyBorder="1" applyAlignment="1">
      <alignment/>
    </xf>
    <xf numFmtId="3" fontId="5" fillId="0" borderId="0" xfId="0" applyNumberFormat="1" applyFont="1" applyAlignment="1" applyProtection="1">
      <alignment/>
      <protection locked="0"/>
    </xf>
    <xf numFmtId="211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6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2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 horizontal="center"/>
      <protection locked="0"/>
    </xf>
    <xf numFmtId="217" fontId="0" fillId="0" borderId="2" xfId="0" applyNumberFormat="1" applyFont="1" applyBorder="1" applyAlignment="1" applyProtection="1">
      <alignment/>
      <protection/>
    </xf>
    <xf numFmtId="3" fontId="5" fillId="0" borderId="3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 locked="0"/>
    </xf>
    <xf numFmtId="217" fontId="0" fillId="0" borderId="4" xfId="0" applyNumberFormat="1" applyFont="1" applyBorder="1" applyAlignment="1" applyProtection="1">
      <alignment/>
      <protection locked="0"/>
    </xf>
    <xf numFmtId="217" fontId="0" fillId="0" borderId="5" xfId="0" applyNumberFormat="1" applyFont="1" applyBorder="1" applyAlignment="1" applyProtection="1">
      <alignment/>
      <protection locked="0"/>
    </xf>
    <xf numFmtId="217" fontId="0" fillId="0" borderId="4" xfId="0" applyNumberFormat="1" applyFont="1" applyBorder="1" applyAlignment="1" applyProtection="1">
      <alignment/>
      <protection/>
    </xf>
    <xf numFmtId="3" fontId="5" fillId="0" borderId="5" xfId="0" applyNumberFormat="1" applyFont="1" applyBorder="1" applyAlignment="1" applyProtection="1">
      <alignment/>
      <protection/>
    </xf>
    <xf numFmtId="0" fontId="0" fillId="2" borderId="4" xfId="0" applyFont="1" applyFill="1" applyBorder="1" applyAlignment="1" applyProtection="1">
      <alignment/>
      <protection locked="0"/>
    </xf>
    <xf numFmtId="217" fontId="0" fillId="2" borderId="4" xfId="0" applyNumberFormat="1" applyFont="1" applyFill="1" applyBorder="1" applyAlignment="1" applyProtection="1">
      <alignment/>
      <protection locked="0"/>
    </xf>
    <xf numFmtId="217" fontId="0" fillId="2" borderId="5" xfId="0" applyNumberFormat="1" applyFont="1" applyFill="1" applyBorder="1" applyAlignment="1" applyProtection="1">
      <alignment/>
      <protection locked="0"/>
    </xf>
    <xf numFmtId="3" fontId="5" fillId="0" borderId="5" xfId="0" applyNumberFormat="1" applyFont="1" applyBorder="1" applyAlignment="1" applyProtection="1">
      <alignment/>
      <protection locked="0"/>
    </xf>
    <xf numFmtId="0" fontId="1" fillId="3" borderId="6" xfId="0" applyFont="1" applyFill="1" applyBorder="1" applyAlignment="1" applyProtection="1">
      <alignment/>
      <protection locked="0"/>
    </xf>
    <xf numFmtId="217" fontId="1" fillId="3" borderId="6" xfId="0" applyNumberFormat="1" applyFont="1" applyFill="1" applyBorder="1" applyAlignment="1" applyProtection="1">
      <alignment/>
      <protection/>
    </xf>
    <xf numFmtId="3" fontId="18" fillId="4" borderId="7" xfId="0" applyNumberFormat="1" applyFont="1" applyFill="1" applyBorder="1" applyAlignment="1" applyProtection="1">
      <alignment/>
      <protection/>
    </xf>
    <xf numFmtId="3" fontId="5" fillId="0" borderId="5" xfId="0" applyNumberFormat="1" applyFont="1" applyFill="1" applyBorder="1" applyAlignment="1" applyProtection="1">
      <alignment/>
      <protection locked="0"/>
    </xf>
    <xf numFmtId="217" fontId="0" fillId="0" borderId="5" xfId="0" applyNumberFormat="1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 locked="0"/>
    </xf>
    <xf numFmtId="217" fontId="1" fillId="0" borderId="6" xfId="0" applyNumberFormat="1" applyFont="1" applyBorder="1" applyAlignment="1" applyProtection="1">
      <alignment/>
      <protection/>
    </xf>
    <xf numFmtId="3" fontId="18" fillId="0" borderId="7" xfId="0" applyNumberFormat="1" applyFont="1" applyBorder="1" applyAlignment="1" applyProtection="1">
      <alignment/>
      <protection/>
    </xf>
    <xf numFmtId="0" fontId="0" fillId="0" borderId="8" xfId="0" applyFont="1" applyBorder="1" applyAlignment="1" applyProtection="1">
      <alignment/>
      <protection locked="0"/>
    </xf>
    <xf numFmtId="217" fontId="0" fillId="0" borderId="7" xfId="0" applyNumberFormat="1" applyFont="1" applyBorder="1" applyAlignment="1" applyProtection="1">
      <alignment/>
      <protection locked="0"/>
    </xf>
    <xf numFmtId="3" fontId="5" fillId="0" borderId="9" xfId="0" applyNumberFormat="1" applyFont="1" applyBorder="1" applyAlignment="1" applyProtection="1">
      <alignment/>
      <protection locked="0"/>
    </xf>
    <xf numFmtId="217" fontId="18" fillId="0" borderId="0" xfId="0" applyNumberFormat="1" applyFont="1" applyAlignment="1" applyProtection="1">
      <alignment/>
      <protection locked="0"/>
    </xf>
    <xf numFmtId="219" fontId="5" fillId="0" borderId="0" xfId="0" applyNumberFormat="1" applyFont="1" applyAlignment="1" applyProtection="1">
      <alignment/>
      <protection locked="0"/>
    </xf>
    <xf numFmtId="217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217" fontId="5" fillId="0" borderId="7" xfId="0" applyNumberFormat="1" applyFont="1" applyBorder="1" applyAlignment="1" applyProtection="1">
      <alignment horizontal="center"/>
      <protection locked="0"/>
    </xf>
    <xf numFmtId="217" fontId="0" fillId="0" borderId="4" xfId="0" applyNumberFormat="1" applyFont="1" applyFill="1" applyBorder="1" applyAlignment="1" applyProtection="1">
      <alignment/>
      <protection/>
    </xf>
    <xf numFmtId="217" fontId="5" fillId="0" borderId="5" xfId="0" applyNumberFormat="1" applyFont="1" applyBorder="1" applyAlignment="1" applyProtection="1">
      <alignment/>
      <protection/>
    </xf>
    <xf numFmtId="217" fontId="5" fillId="0" borderId="5" xfId="0" applyNumberFormat="1" applyFont="1" applyBorder="1" applyAlignment="1" applyProtection="1">
      <alignment/>
      <protection locked="0"/>
    </xf>
    <xf numFmtId="217" fontId="1" fillId="5" borderId="6" xfId="0" applyNumberFormat="1" applyFont="1" applyFill="1" applyBorder="1" applyAlignment="1" applyProtection="1">
      <alignment/>
      <protection locked="0"/>
    </xf>
    <xf numFmtId="217" fontId="1" fillId="0" borderId="6" xfId="0" applyNumberFormat="1" applyFont="1" applyFill="1" applyBorder="1" applyAlignment="1" applyProtection="1">
      <alignment/>
      <protection/>
    </xf>
    <xf numFmtId="217" fontId="1" fillId="5" borderId="6" xfId="0" applyNumberFormat="1" applyFont="1" applyFill="1" applyBorder="1" applyAlignment="1" applyProtection="1">
      <alignment/>
      <protection/>
    </xf>
    <xf numFmtId="217" fontId="18" fillId="6" borderId="7" xfId="0" applyNumberFormat="1" applyFont="1" applyFill="1" applyBorder="1" applyAlignment="1" applyProtection="1">
      <alignment/>
      <protection/>
    </xf>
    <xf numFmtId="217" fontId="0" fillId="2" borderId="4" xfId="0" applyNumberFormat="1" applyFont="1" applyFill="1" applyBorder="1" applyAlignment="1" applyProtection="1">
      <alignment/>
      <protection/>
    </xf>
    <xf numFmtId="217" fontId="1" fillId="0" borderId="7" xfId="0" applyNumberFormat="1" applyFont="1" applyFill="1" applyBorder="1" applyAlignment="1" applyProtection="1">
      <alignment/>
      <protection/>
    </xf>
    <xf numFmtId="218" fontId="5" fillId="0" borderId="0" xfId="0" applyNumberFormat="1" applyFont="1" applyAlignment="1" applyProtection="1">
      <alignment/>
      <protection locked="0"/>
    </xf>
    <xf numFmtId="217" fontId="5" fillId="0" borderId="10" xfId="0" applyNumberFormat="1" applyFont="1" applyBorder="1" applyAlignment="1" applyProtection="1">
      <alignment/>
      <protection locked="0"/>
    </xf>
    <xf numFmtId="217" fontId="5" fillId="0" borderId="10" xfId="0" applyNumberFormat="1" applyFont="1" applyBorder="1" applyAlignment="1" applyProtection="1">
      <alignment/>
      <protection/>
    </xf>
    <xf numFmtId="217" fontId="5" fillId="0" borderId="0" xfId="0" applyNumberFormat="1" applyFont="1" applyAlignment="1" applyProtection="1">
      <alignment/>
      <protection/>
    </xf>
    <xf numFmtId="9" fontId="5" fillId="0" borderId="0" xfId="19" applyFont="1" applyAlignment="1" applyProtection="1">
      <alignment/>
      <protection locked="0"/>
    </xf>
    <xf numFmtId="217" fontId="19" fillId="0" borderId="0" xfId="0" applyNumberFormat="1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217" fontId="0" fillId="0" borderId="5" xfId="0" applyNumberFormat="1" applyFont="1" applyFill="1" applyBorder="1" applyAlignment="1" applyProtection="1">
      <alignment/>
      <protection/>
    </xf>
    <xf numFmtId="217" fontId="1" fillId="5" borderId="7" xfId="0" applyNumberFormat="1" applyFont="1" applyFill="1" applyBorder="1" applyAlignment="1" applyProtection="1">
      <alignment/>
      <protection/>
    </xf>
    <xf numFmtId="217" fontId="0" fillId="0" borderId="9" xfId="0" applyNumberFormat="1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3" fontId="20" fillId="0" borderId="0" xfId="0" applyNumberFormat="1" applyFont="1" applyAlignment="1" applyProtection="1">
      <alignment/>
      <protection locked="0"/>
    </xf>
    <xf numFmtId="217" fontId="5" fillId="0" borderId="0" xfId="0" applyNumberFormat="1" applyFont="1" applyAlignment="1" applyProtection="1">
      <alignment horizontal="center"/>
      <protection locked="0"/>
    </xf>
    <xf numFmtId="217" fontId="18" fillId="0" borderId="10" xfId="0" applyNumberFormat="1" applyFont="1" applyFill="1" applyBorder="1" applyAlignment="1" applyProtection="1">
      <alignment/>
      <protection locked="0"/>
    </xf>
    <xf numFmtId="217" fontId="18" fillId="0" borderId="10" xfId="0" applyNumberFormat="1" applyFont="1" applyFill="1" applyBorder="1" applyAlignment="1" applyProtection="1">
      <alignment/>
      <protection/>
    </xf>
    <xf numFmtId="217" fontId="5" fillId="0" borderId="0" xfId="0" applyNumberFormat="1" applyFont="1" applyBorder="1" applyAlignment="1" applyProtection="1">
      <alignment/>
      <protection/>
    </xf>
    <xf numFmtId="10" fontId="5" fillId="0" borderId="0" xfId="19" applyNumberFormat="1" applyFont="1" applyAlignment="1" applyProtection="1">
      <alignment/>
      <protection locked="0"/>
    </xf>
    <xf numFmtId="217" fontId="18" fillId="0" borderId="0" xfId="0" applyNumberFormat="1" applyFont="1" applyAlignment="1" applyProtection="1">
      <alignment/>
      <protection/>
    </xf>
    <xf numFmtId="10" fontId="18" fillId="0" borderId="0" xfId="19" applyNumberFormat="1" applyFont="1" applyAlignment="1" applyProtection="1">
      <alignment/>
      <protection locked="0"/>
    </xf>
    <xf numFmtId="10" fontId="18" fillId="0" borderId="0" xfId="19" applyNumberFormat="1" applyFont="1" applyAlignment="1" applyProtection="1">
      <alignment/>
      <protection/>
    </xf>
    <xf numFmtId="217" fontId="18" fillId="0" borderId="0" xfId="0" applyNumberFormat="1" applyFont="1" applyFill="1" applyBorder="1" applyAlignment="1" applyProtection="1">
      <alignment/>
      <protection locked="0"/>
    </xf>
    <xf numFmtId="10" fontId="5" fillId="0" borderId="0" xfId="19" applyNumberFormat="1" applyFont="1" applyAlignment="1" applyProtection="1">
      <alignment/>
      <protection/>
    </xf>
    <xf numFmtId="217" fontId="18" fillId="0" borderId="11" xfId="0" applyNumberFormat="1" applyFont="1" applyBorder="1" applyAlignment="1" applyProtection="1">
      <alignment/>
      <protection locked="0"/>
    </xf>
    <xf numFmtId="217" fontId="18" fillId="0" borderId="11" xfId="0" applyNumberFormat="1" applyFont="1" applyFill="1" applyBorder="1" applyAlignment="1" applyProtection="1">
      <alignment/>
      <protection locked="0"/>
    </xf>
    <xf numFmtId="10" fontId="18" fillId="0" borderId="11" xfId="19" applyNumberFormat="1" applyFont="1" applyBorder="1" applyAlignment="1" applyProtection="1">
      <alignment/>
      <protection/>
    </xf>
    <xf numFmtId="9" fontId="5" fillId="0" borderId="0" xfId="19" applyNumberFormat="1" applyFont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217" fontId="0" fillId="0" borderId="3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7" xfId="0" applyFont="1" applyBorder="1" applyAlignment="1" applyProtection="1">
      <alignment/>
      <protection locked="0"/>
    </xf>
    <xf numFmtId="217" fontId="0" fillId="0" borderId="7" xfId="0" applyNumberFormat="1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 locked="0"/>
    </xf>
    <xf numFmtId="217" fontId="1" fillId="0" borderId="5" xfId="0" applyNumberFormat="1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/>
      <protection locked="0"/>
    </xf>
    <xf numFmtId="217" fontId="1" fillId="0" borderId="7" xfId="0" applyNumberFormat="1" applyFont="1" applyBorder="1" applyAlignment="1" applyProtection="1">
      <alignment/>
      <protection/>
    </xf>
    <xf numFmtId="4" fontId="21" fillId="0" borderId="0" xfId="0" applyNumberFormat="1" applyFont="1" applyFill="1" applyBorder="1" applyAlignment="1" applyProtection="1">
      <alignment horizontal="centerContinuous"/>
      <protection locked="0"/>
    </xf>
    <xf numFmtId="9" fontId="0" fillId="0" borderId="0" xfId="0" applyNumberFormat="1" applyFill="1" applyBorder="1" applyAlignment="1">
      <alignment/>
    </xf>
    <xf numFmtId="217" fontId="0" fillId="0" borderId="0" xfId="0" applyNumberFormat="1" applyFill="1" applyBorder="1" applyAlignment="1">
      <alignment/>
    </xf>
    <xf numFmtId="10" fontId="0" fillId="0" borderId="12" xfId="0" applyNumberFormat="1" applyFill="1" applyBorder="1" applyAlignment="1">
      <alignment/>
    </xf>
    <xf numFmtId="0" fontId="22" fillId="7" borderId="11" xfId="0" applyFont="1" applyFill="1" applyBorder="1" applyAlignment="1">
      <alignment horizontal="left"/>
    </xf>
    <xf numFmtId="0" fontId="22" fillId="7" borderId="13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18" fillId="8" borderId="0" xfId="0" applyFont="1" applyFill="1" applyBorder="1" applyAlignment="1">
      <alignment horizontal="left"/>
    </xf>
    <xf numFmtId="0" fontId="23" fillId="8" borderId="10" xfId="0" applyFont="1" applyFill="1" applyBorder="1" applyAlignment="1">
      <alignment horizontal="left"/>
    </xf>
    <xf numFmtId="0" fontId="18" fillId="8" borderId="12" xfId="0" applyFont="1" applyFill="1" applyBorder="1" applyAlignment="1">
      <alignment horizontal="left"/>
    </xf>
    <xf numFmtId="0" fontId="24" fillId="7" borderId="13" xfId="0" applyFont="1" applyFill="1" applyBorder="1" applyAlignment="1">
      <alignment horizontal="right"/>
    </xf>
    <xf numFmtId="0" fontId="24" fillId="7" borderId="11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3" fontId="7" fillId="0" borderId="0" xfId="0" applyNumberFormat="1" applyFont="1" applyAlignment="1">
      <alignment horizontal="left"/>
    </xf>
    <xf numFmtId="0" fontId="9" fillId="9" borderId="12" xfId="0" applyFont="1" applyFill="1" applyBorder="1" applyAlignment="1" applyProtection="1">
      <alignment horizontal="center"/>
      <protection locked="0"/>
    </xf>
  </cellXfs>
  <cellStyles count="10">
    <cellStyle name="Normal" xfId="0"/>
    <cellStyle name="Followed Hyperlink" xfId="15"/>
    <cellStyle name="Hyperlink" xfId="16"/>
    <cellStyle name="Navadno_Amortizacijski načrt (Univ)" xfId="17"/>
    <cellStyle name="Normal_SOLVER5" xfId="18"/>
    <cellStyle name="Percent" xfId="19"/>
    <cellStyle name="Currency" xfId="20"/>
    <cellStyle name="Currency [0]" xfId="21"/>
    <cellStyle name="Comma" xfId="22"/>
    <cellStyle name="Comma [0]" xfId="23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zoomScale="75" zoomScaleNormal="75" workbookViewId="0" topLeftCell="A1">
      <selection activeCell="A11" sqref="A11"/>
    </sheetView>
  </sheetViews>
  <sheetFormatPr defaultColWidth="9.00390625" defaultRowHeight="12.75"/>
  <cols>
    <col min="1" max="1" width="9.125" style="33" customWidth="1"/>
    <col min="2" max="2" width="29.75390625" style="33" customWidth="1"/>
    <col min="3" max="3" width="23.625" style="37" customWidth="1"/>
    <col min="4" max="4" width="13.125" style="37" customWidth="1"/>
    <col min="5" max="5" width="11.625" style="37" customWidth="1"/>
    <col min="6" max="6" width="9.875" style="37" bestFit="1" customWidth="1"/>
    <col min="7" max="7" width="11.75390625" style="37" bestFit="1" customWidth="1"/>
    <col min="8" max="16384" width="9.125" style="33" customWidth="1"/>
  </cols>
  <sheetData>
    <row r="1" spans="1:7" s="34" customFormat="1" ht="18">
      <c r="A1" s="3" t="s">
        <v>206</v>
      </c>
      <c r="C1" s="36"/>
      <c r="D1" s="36"/>
      <c r="E1" s="36"/>
      <c r="F1" s="36"/>
      <c r="G1" s="36"/>
    </row>
    <row r="2" spans="1:7" s="34" customFormat="1" ht="18">
      <c r="A2" s="35"/>
      <c r="C2" s="36"/>
      <c r="D2" s="36"/>
      <c r="E2" s="36"/>
      <c r="F2" s="36"/>
      <c r="G2" s="36"/>
    </row>
    <row r="3" spans="1:7" s="34" customFormat="1" ht="18">
      <c r="A3" s="5" t="s">
        <v>187</v>
      </c>
      <c r="C3" s="36"/>
      <c r="D3" s="36"/>
      <c r="E3" s="36"/>
      <c r="F3" s="36"/>
      <c r="G3" s="36"/>
    </row>
    <row r="5" spans="1:7" ht="15">
      <c r="A5" s="33" t="s">
        <v>214</v>
      </c>
      <c r="C5" s="40" t="s">
        <v>208</v>
      </c>
      <c r="D5" s="40" t="s">
        <v>191</v>
      </c>
      <c r="E5" s="40" t="s">
        <v>188</v>
      </c>
      <c r="F5" s="141" t="s">
        <v>204</v>
      </c>
      <c r="G5" s="141"/>
    </row>
    <row r="7" spans="1:6" ht="15">
      <c r="A7" s="33">
        <v>1</v>
      </c>
      <c r="B7" s="33" t="s">
        <v>207</v>
      </c>
      <c r="C7" s="37">
        <v>1285220</v>
      </c>
      <c r="D7" s="42">
        <f aca="true" t="shared" si="0" ref="D7:D12">+C7/$C$12*100</f>
        <v>15.870401149882321</v>
      </c>
      <c r="E7" s="37">
        <v>0</v>
      </c>
      <c r="F7" s="37">
        <f>+C7*0</f>
        <v>0</v>
      </c>
    </row>
    <row r="8" spans="1:6" ht="15">
      <c r="A8" s="33">
        <v>2</v>
      </c>
      <c r="B8" s="33" t="s">
        <v>209</v>
      </c>
      <c r="C8" s="37">
        <v>366000</v>
      </c>
      <c r="D8" s="42">
        <f t="shared" si="0"/>
        <v>4.519511695162641</v>
      </c>
      <c r="E8" s="37">
        <v>0</v>
      </c>
      <c r="F8" s="37">
        <f>+C8*0</f>
        <v>0</v>
      </c>
    </row>
    <row r="9" spans="1:6" ht="15">
      <c r="A9" s="33">
        <v>3</v>
      </c>
      <c r="B9" s="33" t="s">
        <v>210</v>
      </c>
      <c r="C9" s="37">
        <v>120000</v>
      </c>
      <c r="D9" s="42">
        <f t="shared" si="0"/>
        <v>1.481807113168079</v>
      </c>
      <c r="E9" s="37">
        <v>0</v>
      </c>
      <c r="F9" s="37">
        <f>+C9*0</f>
        <v>0</v>
      </c>
    </row>
    <row r="10" spans="1:6" ht="15">
      <c r="A10" s="33">
        <v>4</v>
      </c>
      <c r="B10" s="33" t="s">
        <v>211</v>
      </c>
      <c r="C10" s="37">
        <v>5660000</v>
      </c>
      <c r="D10" s="42">
        <f t="shared" si="0"/>
        <v>69.89190217109439</v>
      </c>
      <c r="E10" s="45">
        <v>1.5</v>
      </c>
      <c r="F10" s="37">
        <f>+C10*0.015</f>
        <v>84900</v>
      </c>
    </row>
    <row r="11" spans="1:6" ht="15">
      <c r="A11" s="33">
        <v>5</v>
      </c>
      <c r="B11" s="33" t="s">
        <v>212</v>
      </c>
      <c r="C11" s="37">
        <v>667000</v>
      </c>
      <c r="D11" s="42">
        <f t="shared" si="0"/>
        <v>8.236377870692573</v>
      </c>
      <c r="E11" s="45">
        <v>15</v>
      </c>
      <c r="F11" s="37">
        <f>+C11*0.15</f>
        <v>100050</v>
      </c>
    </row>
    <row r="12" spans="1:6" ht="27.75" customHeight="1" thickBot="1">
      <c r="A12" s="38"/>
      <c r="B12" s="38" t="s">
        <v>166</v>
      </c>
      <c r="C12" s="39">
        <f>SUM(C7:C11)</f>
        <v>8098220</v>
      </c>
      <c r="D12" s="43">
        <f t="shared" si="0"/>
        <v>100</v>
      </c>
      <c r="E12" s="39"/>
      <c r="F12" s="39">
        <f>SUM(F7:F11)</f>
        <v>184950</v>
      </c>
    </row>
    <row r="13" ht="15.75" thickTop="1"/>
    <row r="15" spans="1:5" ht="15">
      <c r="A15" s="33" t="s">
        <v>192</v>
      </c>
      <c r="C15" s="40" t="s">
        <v>218</v>
      </c>
      <c r="D15" s="40" t="s">
        <v>191</v>
      </c>
      <c r="E15" s="37" t="s">
        <v>202</v>
      </c>
    </row>
    <row r="17" spans="1:6" ht="15">
      <c r="A17" s="33">
        <v>1</v>
      </c>
      <c r="B17" s="33" t="s">
        <v>213</v>
      </c>
      <c r="C17" s="37">
        <v>4982690</v>
      </c>
      <c r="D17" s="42">
        <f>+C17/$C$19*100</f>
        <v>61.52821237259546</v>
      </c>
      <c r="E17" s="37">
        <v>4</v>
      </c>
      <c r="F17" s="37">
        <f>+C17*E17/100</f>
        <v>199307.6</v>
      </c>
    </row>
    <row r="18" spans="1:6" ht="15">
      <c r="A18" s="33">
        <v>2</v>
      </c>
      <c r="B18" s="33" t="s">
        <v>234</v>
      </c>
      <c r="C18" s="37">
        <v>3115530</v>
      </c>
      <c r="D18" s="42">
        <f>+C18/$C$19*100</f>
        <v>38.47178762740454</v>
      </c>
      <c r="E18" s="37">
        <v>6</v>
      </c>
      <c r="F18" s="37">
        <f>+C18*E18/100</f>
        <v>186931.8</v>
      </c>
    </row>
    <row r="19" spans="1:5" ht="24.75" customHeight="1" thickBot="1">
      <c r="A19" s="38"/>
      <c r="B19" s="38"/>
      <c r="C19" s="39">
        <f>+C17+C18</f>
        <v>8098220</v>
      </c>
      <c r="D19" s="43">
        <f>+C19/$C$19*100</f>
        <v>100</v>
      </c>
      <c r="E19" s="37">
        <f>(F17+F18)/C19*100</f>
        <v>4.769435752548091</v>
      </c>
    </row>
    <row r="20" ht="15.75" thickTop="1"/>
    <row r="22" spans="1:4" ht="15">
      <c r="A22" s="33" t="s">
        <v>215</v>
      </c>
      <c r="C22" s="33"/>
      <c r="D22" s="33"/>
    </row>
    <row r="24" spans="2:3" ht="15">
      <c r="B24" s="40" t="s">
        <v>216</v>
      </c>
      <c r="C24" s="40" t="s">
        <v>217</v>
      </c>
    </row>
    <row r="25" spans="1:3" ht="15">
      <c r="A25" s="46">
        <v>2002</v>
      </c>
      <c r="B25" s="47">
        <v>382500</v>
      </c>
      <c r="C25" s="47">
        <v>0</v>
      </c>
    </row>
    <row r="26" spans="1:3" ht="15">
      <c r="A26" s="46">
        <v>2003</v>
      </c>
      <c r="B26" s="47">
        <v>574220</v>
      </c>
      <c r="C26" s="47">
        <v>0</v>
      </c>
    </row>
    <row r="27" spans="1:3" ht="15">
      <c r="A27" s="46">
        <v>2004</v>
      </c>
      <c r="B27" s="47">
        <v>1300500</v>
      </c>
      <c r="C27" s="47">
        <v>998000</v>
      </c>
    </row>
    <row r="28" spans="1:3" ht="15">
      <c r="A28" s="46">
        <v>2005</v>
      </c>
      <c r="B28" s="47">
        <v>2725470</v>
      </c>
      <c r="C28" s="47">
        <v>2117530</v>
      </c>
    </row>
    <row r="29" spans="1:3" ht="22.5" customHeight="1" thickBot="1">
      <c r="A29" s="38"/>
      <c r="B29" s="39">
        <f>SUM(B25:B28)</f>
        <v>4982690</v>
      </c>
      <c r="C29" s="39">
        <f>SUM(C25:C28)</f>
        <v>3115530</v>
      </c>
    </row>
    <row r="30" ht="15.75" thickTop="1"/>
    <row r="31" ht="15">
      <c r="B31" s="37"/>
    </row>
  </sheetData>
  <mergeCells count="1">
    <mergeCell ref="F5:G5"/>
  </mergeCells>
  <printOptions/>
  <pageMargins left="0.47" right="0.61" top="0.68" bottom="1" header="0" footer="0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tabSelected="1" workbookViewId="0" topLeftCell="A1">
      <selection activeCell="A1" sqref="A1"/>
    </sheetView>
  </sheetViews>
  <sheetFormatPr defaultColWidth="9.00390625" defaultRowHeight="12.75"/>
  <cols>
    <col min="1" max="1" width="6.875" style="10" customWidth="1"/>
    <col min="2" max="2" width="18.625" style="10" customWidth="1"/>
    <col min="3" max="3" width="16.375" style="10" customWidth="1"/>
    <col min="4" max="4" width="14.625" style="10" customWidth="1"/>
    <col min="5" max="5" width="16.125" style="10" customWidth="1"/>
    <col min="6" max="6" width="15.125" style="10" customWidth="1"/>
    <col min="7" max="7" width="12.25390625" style="10" bestFit="1" customWidth="1"/>
    <col min="8" max="8" width="15.625" style="10" customWidth="1"/>
    <col min="9" max="16384" width="9.125" style="10" customWidth="1"/>
  </cols>
  <sheetData>
    <row r="1" ht="15.75">
      <c r="A1" s="48" t="s">
        <v>206</v>
      </c>
    </row>
    <row r="2" ht="40.5" customHeight="1">
      <c r="A2" s="48"/>
    </row>
    <row r="3" spans="1:7" ht="21" thickBot="1">
      <c r="A3" s="142" t="s">
        <v>0</v>
      </c>
      <c r="B3" s="142"/>
      <c r="C3" s="142"/>
      <c r="D3" s="142"/>
      <c r="E3" s="142"/>
      <c r="F3" s="142"/>
      <c r="G3" s="125"/>
    </row>
    <row r="4" spans="1:3" ht="12.75">
      <c r="A4" s="11"/>
      <c r="B4" s="11"/>
      <c r="C4" s="12"/>
    </row>
    <row r="5" spans="2:3" ht="12.75">
      <c r="B5" s="13"/>
      <c r="C5" s="7"/>
    </row>
    <row r="6" spans="1:3" ht="12.75">
      <c r="A6" s="13" t="s">
        <v>235</v>
      </c>
      <c r="B6" s="13"/>
      <c r="C6" s="7">
        <f>+Investicija!C18</f>
        <v>3115530</v>
      </c>
    </row>
    <row r="7" spans="1:4" ht="12.75">
      <c r="A7" s="13" t="s">
        <v>1</v>
      </c>
      <c r="B7" s="13"/>
      <c r="C7" s="8">
        <v>0.06</v>
      </c>
      <c r="D7" s="32"/>
    </row>
    <row r="8" spans="1:4" ht="12.75">
      <c r="A8" s="13" t="s">
        <v>140</v>
      </c>
      <c r="B8" s="13"/>
      <c r="C8" s="9">
        <v>10</v>
      </c>
      <c r="D8" s="9" t="s">
        <v>141</v>
      </c>
    </row>
    <row r="9" spans="1:8" ht="12.75">
      <c r="A9" s="13" t="s">
        <v>2</v>
      </c>
      <c r="B9" s="13"/>
      <c r="C9" s="9">
        <v>1</v>
      </c>
      <c r="D9" s="9"/>
      <c r="H9" s="14"/>
    </row>
    <row r="10" spans="1:7" ht="12.75">
      <c r="A10" s="13" t="s">
        <v>3</v>
      </c>
      <c r="B10" s="13"/>
      <c r="C10" s="25">
        <f>+C7/C9</f>
        <v>0.06</v>
      </c>
      <c r="G10" s="15"/>
    </row>
    <row r="11" spans="1:5" ht="12.75">
      <c r="A11" s="13" t="s">
        <v>4</v>
      </c>
      <c r="B11" s="13"/>
      <c r="C11" s="25">
        <f>NOMINAL(C7,C9)/C9</f>
        <v>0.06000000000000005</v>
      </c>
      <c r="E11" s="16"/>
    </row>
    <row r="12" spans="1:5" ht="12.75">
      <c r="A12" s="17" t="s">
        <v>5</v>
      </c>
      <c r="B12" s="17"/>
      <c r="C12" s="18">
        <v>38718</v>
      </c>
      <c r="E12" s="19"/>
    </row>
    <row r="13" spans="1:5" ht="12.75">
      <c r="A13" s="17" t="s">
        <v>186</v>
      </c>
      <c r="B13" s="17"/>
      <c r="C13" s="41"/>
      <c r="E13" s="19"/>
    </row>
    <row r="14" spans="1:5" ht="12.75">
      <c r="A14" s="17"/>
      <c r="B14" s="17"/>
      <c r="C14" s="18"/>
      <c r="E14" s="19"/>
    </row>
    <row r="15" spans="4:5" ht="12.75">
      <c r="D15" s="14"/>
      <c r="E15" s="14"/>
    </row>
    <row r="16" spans="1:6" ht="13.5" thickBot="1">
      <c r="A16" s="20" t="s">
        <v>6</v>
      </c>
      <c r="B16" s="21" t="s">
        <v>143</v>
      </c>
      <c r="C16" s="22" t="s">
        <v>7</v>
      </c>
      <c r="D16" s="22" t="s">
        <v>8</v>
      </c>
      <c r="E16" s="22" t="s">
        <v>9</v>
      </c>
      <c r="F16" s="22" t="s">
        <v>142</v>
      </c>
    </row>
    <row r="17" spans="1:6" ht="13.5" thickTop="1">
      <c r="A17" s="23">
        <v>0</v>
      </c>
      <c r="C17" s="24"/>
      <c r="D17" s="24"/>
      <c r="E17" s="24"/>
      <c r="F17" s="26">
        <f>C6</f>
        <v>3115530</v>
      </c>
    </row>
    <row r="18" spans="1:6" ht="12.75">
      <c r="A18" s="27">
        <f aca="true" t="shared" si="0" ref="A18:A32">IF(ROUND(F17,0)=0,0,A17+1)</f>
        <v>1</v>
      </c>
      <c r="B18" s="6">
        <f>IF(ROUND(F17,0)=0,"",C12)</f>
        <v>38718</v>
      </c>
      <c r="C18" s="26">
        <f aca="true" t="shared" si="1" ref="C18:C27">IF(ROUND(F17,0)=0,"",PMT($C$11,$C$8*$C$9,-$C$6))</f>
        <v>423300.69987435255</v>
      </c>
      <c r="D18" s="26">
        <f aca="true" t="shared" si="2" ref="D18:D27">IF(ROUND(F17,0)=0,"",IPMT($C$11,A18,$C$8*$C$9,-$C$6))</f>
        <v>186931.80000000016</v>
      </c>
      <c r="E18" s="26">
        <f aca="true" t="shared" si="3" ref="E18:E27">IF(ROUND(F17,0)=0,"",PPMT($C$11,A18,$C$8*$C$9,-$C$6))</f>
        <v>236368.89987435238</v>
      </c>
      <c r="F18" s="26">
        <f aca="true" t="shared" si="4" ref="F18:F32">IF(ROUND(F17,0)=0,0,F17-E18)</f>
        <v>2879161.1001256476</v>
      </c>
    </row>
    <row r="19" spans="1:6" ht="12.75">
      <c r="A19" s="27">
        <f t="shared" si="0"/>
        <v>2</v>
      </c>
      <c r="B19" s="6" t="e">
        <f>IF(ROUND(F18,0)=0,"",EDATE(B18,12/$C$9))</f>
        <v>#NAME?</v>
      </c>
      <c r="C19" s="26">
        <f t="shared" si="1"/>
        <v>423300.69987435255</v>
      </c>
      <c r="D19" s="26">
        <f t="shared" si="2"/>
        <v>172749.66600753902</v>
      </c>
      <c r="E19" s="26">
        <f t="shared" si="3"/>
        <v>250551.03386681352</v>
      </c>
      <c r="F19" s="26">
        <f t="shared" si="4"/>
        <v>2628610.066258834</v>
      </c>
    </row>
    <row r="20" spans="1:6" ht="12.75">
      <c r="A20" s="27">
        <f t="shared" si="0"/>
        <v>3</v>
      </c>
      <c r="B20" s="6" t="e">
        <f>IF(ROUND(F19,0)=0,"",EDATE(B19,12/$C$9))</f>
        <v>#NAME?</v>
      </c>
      <c r="C20" s="26">
        <f t="shared" si="1"/>
        <v>423300.69987435255</v>
      </c>
      <c r="D20" s="26">
        <f t="shared" si="2"/>
        <v>157716.60397553016</v>
      </c>
      <c r="E20" s="26">
        <f t="shared" si="3"/>
        <v>265584.0958988224</v>
      </c>
      <c r="F20" s="26">
        <f t="shared" si="4"/>
        <v>2363025.970360012</v>
      </c>
    </row>
    <row r="21" spans="1:6" ht="12.75">
      <c r="A21" s="27">
        <f t="shared" si="0"/>
        <v>4</v>
      </c>
      <c r="B21" s="6" t="e">
        <f>IF(ROUND(F20,0)=0,"",EDATE(B20,12/$C$9))</f>
        <v>#NAME?</v>
      </c>
      <c r="C21" s="26">
        <f t="shared" si="1"/>
        <v>423300.69987435255</v>
      </c>
      <c r="D21" s="26">
        <f t="shared" si="2"/>
        <v>141781.55822160083</v>
      </c>
      <c r="E21" s="26">
        <f t="shared" si="3"/>
        <v>281519.1416527517</v>
      </c>
      <c r="F21" s="26">
        <f t="shared" si="4"/>
        <v>2081506.82870726</v>
      </c>
    </row>
    <row r="22" spans="1:6" ht="12.75">
      <c r="A22" s="27">
        <f t="shared" si="0"/>
        <v>5</v>
      </c>
      <c r="B22" s="6" t="e">
        <f>IF(ROUND(F21,0)=0,"",EDATE(B21,12/$C$9))</f>
        <v>#NAME?</v>
      </c>
      <c r="C22" s="26">
        <f t="shared" si="1"/>
        <v>423300.69987435255</v>
      </c>
      <c r="D22" s="26">
        <f t="shared" si="2"/>
        <v>124890.40972243568</v>
      </c>
      <c r="E22" s="26">
        <f t="shared" si="3"/>
        <v>298410.29015191685</v>
      </c>
      <c r="F22" s="26">
        <f t="shared" si="4"/>
        <v>1783096.5385553432</v>
      </c>
    </row>
    <row r="23" spans="1:6" ht="12.75">
      <c r="A23" s="27">
        <f t="shared" si="0"/>
        <v>6</v>
      </c>
      <c r="B23" s="6" t="e">
        <f>IF(ROUND(F22,0)=0,"",EDATE(B22,12/$C$9))</f>
        <v>#NAME?</v>
      </c>
      <c r="C23" s="26">
        <f t="shared" si="1"/>
        <v>423300.69987435255</v>
      </c>
      <c r="D23" s="26">
        <f t="shared" si="2"/>
        <v>106985.79231332066</v>
      </c>
      <c r="E23" s="26">
        <f t="shared" si="3"/>
        <v>316314.90756103187</v>
      </c>
      <c r="F23" s="26">
        <f t="shared" si="4"/>
        <v>1466781.6309943113</v>
      </c>
    </row>
    <row r="24" spans="1:6" ht="12.75">
      <c r="A24" s="27">
        <f t="shared" si="0"/>
        <v>7</v>
      </c>
      <c r="B24" s="6" t="e">
        <f>IF(ROUND(F23,0)=0,"",EDATE(B23,12/$C$9))</f>
        <v>#NAME?</v>
      </c>
      <c r="C24" s="26">
        <f t="shared" si="1"/>
        <v>423300.69987435255</v>
      </c>
      <c r="D24" s="26">
        <f t="shared" si="2"/>
        <v>88006.89785965871</v>
      </c>
      <c r="E24" s="26">
        <f t="shared" si="3"/>
        <v>335293.80201469385</v>
      </c>
      <c r="F24" s="26">
        <f t="shared" si="4"/>
        <v>1131487.8289796175</v>
      </c>
    </row>
    <row r="25" spans="1:6" ht="12.75">
      <c r="A25" s="27">
        <f t="shared" si="0"/>
        <v>8</v>
      </c>
      <c r="B25" s="6" t="e">
        <f>IF(ROUND(F24,0)=0,"",EDATE(B24,12/$C$9))</f>
        <v>#NAME?</v>
      </c>
      <c r="C25" s="26">
        <f t="shared" si="1"/>
        <v>423300.69987435255</v>
      </c>
      <c r="D25" s="26">
        <f t="shared" si="2"/>
        <v>67889.26973877705</v>
      </c>
      <c r="E25" s="26">
        <f t="shared" si="3"/>
        <v>355411.4301355755</v>
      </c>
      <c r="F25" s="26">
        <f t="shared" si="4"/>
        <v>776076.398844042</v>
      </c>
    </row>
    <row r="26" spans="1:6" ht="12.75">
      <c r="A26" s="27">
        <f t="shared" si="0"/>
        <v>9</v>
      </c>
      <c r="B26" s="6" t="e">
        <f>IF(ROUND(F25,0)=0,"",EDATE(B25,12/$C$9))</f>
        <v>#NAME?</v>
      </c>
      <c r="C26" s="26">
        <f t="shared" si="1"/>
        <v>423300.69987435255</v>
      </c>
      <c r="D26" s="26">
        <f t="shared" si="2"/>
        <v>46564.583930642555</v>
      </c>
      <c r="E26" s="26">
        <f t="shared" si="3"/>
        <v>376736.11594370997</v>
      </c>
      <c r="F26" s="26">
        <f t="shared" si="4"/>
        <v>399340.282900332</v>
      </c>
    </row>
    <row r="27" spans="1:6" ht="12.75">
      <c r="A27" s="27">
        <f t="shared" si="0"/>
        <v>10</v>
      </c>
      <c r="B27" s="6" t="e">
        <f>IF(ROUND(F26,0)=0,"",EDATE(B26,12/$C$9))</f>
        <v>#NAME?</v>
      </c>
      <c r="C27" s="26">
        <f t="shared" si="1"/>
        <v>423300.69987435255</v>
      </c>
      <c r="D27" s="26">
        <f t="shared" si="2"/>
        <v>23960.41697401997</v>
      </c>
      <c r="E27" s="26">
        <f t="shared" si="3"/>
        <v>399340.2829003326</v>
      </c>
      <c r="F27" s="26">
        <f t="shared" si="4"/>
        <v>-5.820766091346741E-10</v>
      </c>
    </row>
    <row r="28" spans="1:6" ht="13.5" thickBot="1">
      <c r="A28" s="29">
        <f t="shared" si="0"/>
        <v>0</v>
      </c>
      <c r="B28" s="30">
        <f>IF(ROUND(F27,0)=0,"",EDATE(B27,12/$C$9))</f>
      </c>
      <c r="C28" s="31">
        <f>SUM(C18:C27)</f>
        <v>4233006.998743526</v>
      </c>
      <c r="D28" s="31">
        <f>SUM(D18:D27)</f>
        <v>1117476.9987435248</v>
      </c>
      <c r="E28" s="31">
        <f>SUM(E18:E27)</f>
        <v>3115530.0000000005</v>
      </c>
      <c r="F28" s="31">
        <f t="shared" si="4"/>
        <v>0</v>
      </c>
    </row>
    <row r="29" spans="1:6" ht="13.5" thickTop="1">
      <c r="A29" s="27">
        <f t="shared" si="0"/>
        <v>0</v>
      </c>
      <c r="B29" s="6">
        <f>IF(ROUND(F28,0)=0,"",EDATE(B28,12/$C$9))</f>
      </c>
      <c r="C29" s="26">
        <f>IF(ROUND(F28,0)=0,"",PMT($C$11,$C$8*$C$9,-$C$6))</f>
      </c>
      <c r="D29" s="26">
        <f>IF(ROUND(F28,0)=0,"",IPMT($C$11,A29,$C$8*$C$9,-$C$6))</f>
      </c>
      <c r="E29" s="26">
        <f>IF(ROUND(F28,0)=0,"",PPMT($C$11,A29,$C$8*$C$9,-$C$6))</f>
      </c>
      <c r="F29" s="26">
        <f t="shared" si="4"/>
        <v>0</v>
      </c>
    </row>
    <row r="30" spans="1:6" ht="12.75">
      <c r="A30" s="27">
        <f t="shared" si="0"/>
        <v>0</v>
      </c>
      <c r="B30" s="6">
        <f>IF(ROUND(F29,0)=0,"",EDATE(B29,12/$C$9))</f>
      </c>
      <c r="C30" s="26">
        <f>IF(ROUND(F29,0)=0,"",PMT($C$11,$C$8*$C$9,-$C$6))</f>
      </c>
      <c r="D30" s="26"/>
      <c r="E30" s="26">
        <f>IF(ROUND(F29,0)=0,"",PPMT($C$11,A30,$C$8*$C$9,-$C$6))</f>
      </c>
      <c r="F30" s="26">
        <f t="shared" si="4"/>
        <v>0</v>
      </c>
    </row>
    <row r="31" spans="1:6" ht="12.75">
      <c r="A31" s="27">
        <f t="shared" si="0"/>
        <v>0</v>
      </c>
      <c r="B31" s="6">
        <f>IF(ROUND(F30,0)=0,"",EDATE(B30,12/$C$9))</f>
      </c>
      <c r="C31" s="26">
        <f>IF(ROUND(F30,0)=0,"",PMT($C$11,$C$8*$C$9,-$C$6))</f>
      </c>
      <c r="D31" s="26">
        <f>IF(ROUND(F30,0)=0,"",IPMT($C$11,A31,$C$8*$C$9,-$C$6))</f>
      </c>
      <c r="E31" s="26">
        <f>IF(ROUND(F30,0)=0,"",PPMT($C$11,A31,$C$8*$C$9,-$C$6))</f>
      </c>
      <c r="F31" s="26">
        <f t="shared" si="4"/>
        <v>0</v>
      </c>
    </row>
    <row r="32" spans="1:6" ht="12.75">
      <c r="A32" s="27">
        <f t="shared" si="0"/>
        <v>0</v>
      </c>
      <c r="B32" s="6">
        <f>IF(ROUND(F31,0)=0,"",EDATE(B31,12/$C$9))</f>
      </c>
      <c r="C32" s="26">
        <f>IF(ROUND(F31,0)=0,"",PMT($C$11,$C$8*$C$9,-$C$6))</f>
      </c>
      <c r="D32" s="26">
        <f>IF(ROUND(F31,0)=0,"",IPMT($C$11,A32,$C$8*$C$9,-$C$6))</f>
      </c>
      <c r="E32" s="26">
        <f>IF(ROUND(F31,0)=0,"",PPMT($C$11,A32,$C$8*$C$9,-$C$6))</f>
      </c>
      <c r="F32" s="26">
        <f t="shared" si="4"/>
        <v>0</v>
      </c>
    </row>
  </sheetData>
  <mergeCells count="1">
    <mergeCell ref="A3:F3"/>
  </mergeCells>
  <printOptions horizontalCentered="1"/>
  <pageMargins left="0.7480314960629921" right="0.7480314960629921" top="0.58" bottom="0.984251968503937" header="0.25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showGridLine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4" customWidth="1"/>
    <col min="2" max="2" width="34.875" style="4" customWidth="1"/>
    <col min="3" max="3" width="11.00390625" style="4" hidden="1" customWidth="1"/>
    <col min="4" max="5" width="9.25390625" style="4" bestFit="1" customWidth="1"/>
    <col min="6" max="14" width="11.00390625" style="4" bestFit="1" customWidth="1"/>
    <col min="15" max="17" width="11.625" style="4" bestFit="1" customWidth="1"/>
    <col min="18" max="18" width="12.125" style="4" bestFit="1" customWidth="1"/>
    <col min="19" max="16384" width="8.375" style="4" customWidth="1"/>
  </cols>
  <sheetData>
    <row r="1" ht="15">
      <c r="A1" s="95" t="s">
        <v>206</v>
      </c>
    </row>
    <row r="3" spans="1:5" ht="12.75">
      <c r="A3" s="49" t="s">
        <v>10</v>
      </c>
      <c r="D3" s="1"/>
      <c r="E3" s="1"/>
    </row>
    <row r="4" spans="4:8" ht="12.75">
      <c r="D4" s="50"/>
      <c r="H4" s="50" t="s">
        <v>219</v>
      </c>
    </row>
    <row r="5" spans="1:17" ht="12.75">
      <c r="A5" s="51"/>
      <c r="B5" s="51" t="s">
        <v>220</v>
      </c>
      <c r="C5" s="52">
        <v>2001</v>
      </c>
      <c r="D5" s="52">
        <v>2002</v>
      </c>
      <c r="E5" s="52">
        <v>2003</v>
      </c>
      <c r="F5" s="52">
        <v>2004</v>
      </c>
      <c r="G5" s="52">
        <v>2005</v>
      </c>
      <c r="H5" s="52">
        <v>2006</v>
      </c>
      <c r="I5" s="52">
        <v>2007</v>
      </c>
      <c r="J5" s="52">
        <v>2008</v>
      </c>
      <c r="K5" s="52">
        <v>2009</v>
      </c>
      <c r="L5" s="52">
        <v>2010</v>
      </c>
      <c r="M5" s="52">
        <v>2011</v>
      </c>
      <c r="N5" s="52">
        <v>2012</v>
      </c>
      <c r="O5" s="52">
        <v>2013</v>
      </c>
      <c r="P5" s="52">
        <v>2014</v>
      </c>
      <c r="Q5" s="52">
        <v>2015</v>
      </c>
    </row>
    <row r="6" spans="1:17" ht="12.75">
      <c r="A6" s="51" t="s">
        <v>11</v>
      </c>
      <c r="B6" s="51" t="s">
        <v>12</v>
      </c>
      <c r="C6" s="53">
        <f aca="true" t="shared" si="0" ref="C6:I6">SUM(C7+C8+C11+C12)</f>
        <v>0</v>
      </c>
      <c r="D6" s="53">
        <f t="shared" si="0"/>
        <v>382500</v>
      </c>
      <c r="E6" s="54">
        <f t="shared" si="0"/>
        <v>956720</v>
      </c>
      <c r="F6" s="54">
        <f t="shared" si="0"/>
        <v>3255220</v>
      </c>
      <c r="G6" s="54">
        <f t="shared" si="0"/>
        <v>8098220</v>
      </c>
      <c r="H6" s="54">
        <f t="shared" si="0"/>
        <v>8098220</v>
      </c>
      <c r="I6" s="54">
        <f t="shared" si="0"/>
        <v>8098220</v>
      </c>
      <c r="J6" s="54">
        <f aca="true" t="shared" si="1" ref="J6:Q6">SUM(J7+J8+J11+J12)</f>
        <v>8098220</v>
      </c>
      <c r="K6" s="54">
        <f t="shared" si="1"/>
        <v>8098220</v>
      </c>
      <c r="L6" s="54">
        <f t="shared" si="1"/>
        <v>8098220</v>
      </c>
      <c r="M6" s="54">
        <f t="shared" si="1"/>
        <v>8098220</v>
      </c>
      <c r="N6" s="54">
        <f t="shared" si="1"/>
        <v>8098220</v>
      </c>
      <c r="O6" s="54">
        <f t="shared" si="1"/>
        <v>8098220</v>
      </c>
      <c r="P6" s="54">
        <f t="shared" si="1"/>
        <v>8098220</v>
      </c>
      <c r="Q6" s="54">
        <f t="shared" si="1"/>
        <v>8098220</v>
      </c>
    </row>
    <row r="7" spans="1:17" ht="12.75">
      <c r="A7" s="55" t="s">
        <v>13</v>
      </c>
      <c r="B7" s="55" t="s">
        <v>14</v>
      </c>
      <c r="C7" s="56"/>
      <c r="D7" s="56">
        <v>382500</v>
      </c>
      <c r="E7" s="56">
        <f>382500+574220</f>
        <v>956720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7">
        <v>0</v>
      </c>
    </row>
    <row r="8" spans="1:17" ht="12.75">
      <c r="A8" s="55" t="s">
        <v>15</v>
      </c>
      <c r="B8" s="55" t="s">
        <v>16</v>
      </c>
      <c r="C8" s="58">
        <f aca="true" t="shared" si="2" ref="C8:H8">SUM(C9:C10)</f>
        <v>0</v>
      </c>
      <c r="D8" s="58">
        <f t="shared" si="2"/>
        <v>0</v>
      </c>
      <c r="E8" s="59">
        <f t="shared" si="2"/>
        <v>0</v>
      </c>
      <c r="F8" s="59">
        <f t="shared" si="2"/>
        <v>3255220</v>
      </c>
      <c r="G8" s="59">
        <f t="shared" si="2"/>
        <v>8098220</v>
      </c>
      <c r="H8" s="59">
        <f t="shared" si="2"/>
        <v>8098220</v>
      </c>
      <c r="I8" s="59">
        <f aca="true" t="shared" si="3" ref="I8:Q8">SUM(I9:I10)</f>
        <v>8098220</v>
      </c>
      <c r="J8" s="59">
        <f t="shared" si="3"/>
        <v>8098220</v>
      </c>
      <c r="K8" s="59">
        <f t="shared" si="3"/>
        <v>8098220</v>
      </c>
      <c r="L8" s="59">
        <f t="shared" si="3"/>
        <v>8098220</v>
      </c>
      <c r="M8" s="59">
        <f t="shared" si="3"/>
        <v>8098220</v>
      </c>
      <c r="N8" s="59">
        <f t="shared" si="3"/>
        <v>8098220</v>
      </c>
      <c r="O8" s="59">
        <f t="shared" si="3"/>
        <v>8098220</v>
      </c>
      <c r="P8" s="59">
        <f t="shared" si="3"/>
        <v>8098220</v>
      </c>
      <c r="Q8" s="59">
        <f t="shared" si="3"/>
        <v>8098220</v>
      </c>
    </row>
    <row r="9" spans="1:17" ht="12.75">
      <c r="A9" s="60" t="s">
        <v>17</v>
      </c>
      <c r="B9" s="60" t="s">
        <v>18</v>
      </c>
      <c r="C9" s="61"/>
      <c r="D9" s="61">
        <v>0</v>
      </c>
      <c r="E9" s="61">
        <v>0</v>
      </c>
      <c r="F9" s="59">
        <f>382500+574220+2298500</f>
        <v>3255220</v>
      </c>
      <c r="G9" s="61">
        <f>4843000-667000+3255220</f>
        <v>7431220</v>
      </c>
      <c r="H9" s="61">
        <f aca="true" t="shared" si="4" ref="H9:Q9">4843000-667000+3255220</f>
        <v>7431220</v>
      </c>
      <c r="I9" s="61">
        <f t="shared" si="4"/>
        <v>7431220</v>
      </c>
      <c r="J9" s="61">
        <f t="shared" si="4"/>
        <v>7431220</v>
      </c>
      <c r="K9" s="61">
        <f t="shared" si="4"/>
        <v>7431220</v>
      </c>
      <c r="L9" s="61">
        <f t="shared" si="4"/>
        <v>7431220</v>
      </c>
      <c r="M9" s="61">
        <f t="shared" si="4"/>
        <v>7431220</v>
      </c>
      <c r="N9" s="61">
        <f t="shared" si="4"/>
        <v>7431220</v>
      </c>
      <c r="O9" s="61">
        <f t="shared" si="4"/>
        <v>7431220</v>
      </c>
      <c r="P9" s="61">
        <f t="shared" si="4"/>
        <v>7431220</v>
      </c>
      <c r="Q9" s="62">
        <f t="shared" si="4"/>
        <v>7431220</v>
      </c>
    </row>
    <row r="10" spans="1:17" ht="12.75">
      <c r="A10" s="60" t="s">
        <v>19</v>
      </c>
      <c r="B10" s="60" t="s">
        <v>20</v>
      </c>
      <c r="C10" s="56"/>
      <c r="D10" s="56">
        <v>0</v>
      </c>
      <c r="E10" s="56">
        <v>0</v>
      </c>
      <c r="F10" s="56">
        <v>0</v>
      </c>
      <c r="G10" s="56">
        <v>667000</v>
      </c>
      <c r="H10" s="56">
        <v>667000</v>
      </c>
      <c r="I10" s="56">
        <v>667000</v>
      </c>
      <c r="J10" s="56">
        <v>667000</v>
      </c>
      <c r="K10" s="56">
        <v>667000</v>
      </c>
      <c r="L10" s="56">
        <v>667000</v>
      </c>
      <c r="M10" s="56">
        <v>667000</v>
      </c>
      <c r="N10" s="56">
        <v>667000</v>
      </c>
      <c r="O10" s="56">
        <v>667000</v>
      </c>
      <c r="P10" s="56">
        <v>667000</v>
      </c>
      <c r="Q10" s="57">
        <v>667000</v>
      </c>
    </row>
    <row r="11" spans="1:17" ht="12.75">
      <c r="A11" s="55" t="s">
        <v>21</v>
      </c>
      <c r="B11" s="55" t="s">
        <v>22</v>
      </c>
      <c r="C11" s="56"/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7">
        <v>0</v>
      </c>
    </row>
    <row r="12" spans="1:17" ht="12.75">
      <c r="A12" s="55" t="s">
        <v>23</v>
      </c>
      <c r="B12" s="55" t="s">
        <v>24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7">
        <v>0</v>
      </c>
    </row>
    <row r="13" spans="1:17" ht="12.75">
      <c r="A13" s="55" t="s">
        <v>25</v>
      </c>
      <c r="B13" s="55" t="s">
        <v>26</v>
      </c>
      <c r="C13" s="58">
        <f aca="true" t="shared" si="5" ref="C13:I13">SUM(C14+C19+C20+C21+C22+C23)</f>
        <v>0</v>
      </c>
      <c r="D13" s="58">
        <f t="shared" si="5"/>
        <v>0</v>
      </c>
      <c r="E13" s="59">
        <f t="shared" si="5"/>
        <v>0</v>
      </c>
      <c r="F13" s="59">
        <f t="shared" si="5"/>
        <v>0</v>
      </c>
      <c r="G13" s="59">
        <f t="shared" si="5"/>
        <v>0</v>
      </c>
      <c r="H13" s="59">
        <f t="shared" si="5"/>
        <v>107321.30012564745</v>
      </c>
      <c r="I13" s="59">
        <f t="shared" si="5"/>
        <v>214642.6002512949</v>
      </c>
      <c r="J13" s="59">
        <f aca="true" t="shared" si="6" ref="J13:Q13">SUM(J14+J19+J20+J21+J22+J23)</f>
        <v>321963.90037694236</v>
      </c>
      <c r="K13" s="59">
        <f t="shared" si="6"/>
        <v>429285.2005025898</v>
      </c>
      <c r="L13" s="59">
        <f t="shared" si="6"/>
        <v>536606.5006282373</v>
      </c>
      <c r="M13" s="59">
        <f t="shared" si="6"/>
        <v>643927.8007538847</v>
      </c>
      <c r="N13" s="59">
        <f t="shared" si="6"/>
        <v>751249.1008795322</v>
      </c>
      <c r="O13" s="59">
        <f t="shared" si="6"/>
        <v>858570.4010051796</v>
      </c>
      <c r="P13" s="59">
        <f t="shared" si="6"/>
        <v>965891.7011308271</v>
      </c>
      <c r="Q13" s="59">
        <f t="shared" si="6"/>
        <v>1073213.0012564745</v>
      </c>
    </row>
    <row r="14" spans="1:17" ht="12.75">
      <c r="A14" s="55" t="s">
        <v>27</v>
      </c>
      <c r="B14" s="55" t="s">
        <v>28</v>
      </c>
      <c r="C14" s="58">
        <f aca="true" t="shared" si="7" ref="C14:I14">SUM(C15:C18)</f>
        <v>0</v>
      </c>
      <c r="D14" s="58">
        <f t="shared" si="7"/>
        <v>0</v>
      </c>
      <c r="E14" s="59">
        <f t="shared" si="7"/>
        <v>0</v>
      </c>
      <c r="F14" s="59">
        <f t="shared" si="7"/>
        <v>0</v>
      </c>
      <c r="G14" s="59">
        <f t="shared" si="7"/>
        <v>0</v>
      </c>
      <c r="H14" s="59">
        <f t="shared" si="7"/>
        <v>0</v>
      </c>
      <c r="I14" s="59">
        <f t="shared" si="7"/>
        <v>0</v>
      </c>
      <c r="J14" s="59">
        <f aca="true" t="shared" si="8" ref="J14:Q14">SUM(J15:J18)</f>
        <v>0</v>
      </c>
      <c r="K14" s="59">
        <f t="shared" si="8"/>
        <v>0</v>
      </c>
      <c r="L14" s="59">
        <f t="shared" si="8"/>
        <v>0</v>
      </c>
      <c r="M14" s="59">
        <f t="shared" si="8"/>
        <v>0</v>
      </c>
      <c r="N14" s="59">
        <f t="shared" si="8"/>
        <v>0</v>
      </c>
      <c r="O14" s="59">
        <f t="shared" si="8"/>
        <v>0</v>
      </c>
      <c r="P14" s="59">
        <f t="shared" si="8"/>
        <v>0</v>
      </c>
      <c r="Q14" s="59">
        <f t="shared" si="8"/>
        <v>0</v>
      </c>
    </row>
    <row r="15" spans="1:17" ht="12.75">
      <c r="A15" s="55" t="s">
        <v>17</v>
      </c>
      <c r="B15" s="55" t="s">
        <v>29</v>
      </c>
      <c r="C15" s="56"/>
      <c r="D15" s="56">
        <v>0</v>
      </c>
      <c r="E15" s="56">
        <v>0</v>
      </c>
      <c r="F15" s="56">
        <v>0</v>
      </c>
      <c r="G15" s="63">
        <f>+F15*1.2</f>
        <v>0</v>
      </c>
      <c r="H15" s="63">
        <f aca="true" t="shared" si="9" ref="H15:Q15">+G15*1.1</f>
        <v>0</v>
      </c>
      <c r="I15" s="63">
        <f t="shared" si="9"/>
        <v>0</v>
      </c>
      <c r="J15" s="63">
        <f t="shared" si="9"/>
        <v>0</v>
      </c>
      <c r="K15" s="63">
        <f t="shared" si="9"/>
        <v>0</v>
      </c>
      <c r="L15" s="63">
        <f t="shared" si="9"/>
        <v>0</v>
      </c>
      <c r="M15" s="63">
        <f t="shared" si="9"/>
        <v>0</v>
      </c>
      <c r="N15" s="63">
        <f t="shared" si="9"/>
        <v>0</v>
      </c>
      <c r="O15" s="63">
        <f t="shared" si="9"/>
        <v>0</v>
      </c>
      <c r="P15" s="63">
        <f t="shared" si="9"/>
        <v>0</v>
      </c>
      <c r="Q15" s="63">
        <f t="shared" si="9"/>
        <v>0</v>
      </c>
    </row>
    <row r="16" spans="1:17" ht="12.75">
      <c r="A16" s="60" t="s">
        <v>19</v>
      </c>
      <c r="B16" s="60" t="s">
        <v>30</v>
      </c>
      <c r="C16" s="56"/>
      <c r="D16" s="56">
        <v>0</v>
      </c>
      <c r="E16" s="56">
        <v>0</v>
      </c>
      <c r="F16" s="56">
        <v>0</v>
      </c>
      <c r="G16" s="63">
        <f>+F16*1.2</f>
        <v>0</v>
      </c>
      <c r="H16" s="63">
        <f aca="true" t="shared" si="10" ref="H16:Q16">+G16*1.2</f>
        <v>0</v>
      </c>
      <c r="I16" s="63">
        <f t="shared" si="10"/>
        <v>0</v>
      </c>
      <c r="J16" s="63">
        <f t="shared" si="10"/>
        <v>0</v>
      </c>
      <c r="K16" s="63">
        <f t="shared" si="10"/>
        <v>0</v>
      </c>
      <c r="L16" s="63">
        <f t="shared" si="10"/>
        <v>0</v>
      </c>
      <c r="M16" s="63">
        <f t="shared" si="10"/>
        <v>0</v>
      </c>
      <c r="N16" s="63">
        <f t="shared" si="10"/>
        <v>0</v>
      </c>
      <c r="O16" s="63">
        <f t="shared" si="10"/>
        <v>0</v>
      </c>
      <c r="P16" s="63">
        <f t="shared" si="10"/>
        <v>0</v>
      </c>
      <c r="Q16" s="63">
        <f t="shared" si="10"/>
        <v>0</v>
      </c>
    </row>
    <row r="17" spans="1:17" ht="12.75">
      <c r="A17" s="55" t="s">
        <v>31</v>
      </c>
      <c r="B17" s="55" t="s">
        <v>32</v>
      </c>
      <c r="C17" s="56"/>
      <c r="D17" s="56">
        <v>0</v>
      </c>
      <c r="E17" s="56">
        <v>0</v>
      </c>
      <c r="F17" s="56">
        <v>0</v>
      </c>
      <c r="G17" s="63">
        <f>+F17*1.2</f>
        <v>0</v>
      </c>
      <c r="H17" s="63">
        <f aca="true" t="shared" si="11" ref="H17:Q17">+G17*1.2</f>
        <v>0</v>
      </c>
      <c r="I17" s="63">
        <f t="shared" si="11"/>
        <v>0</v>
      </c>
      <c r="J17" s="63">
        <f t="shared" si="11"/>
        <v>0</v>
      </c>
      <c r="K17" s="63">
        <f t="shared" si="11"/>
        <v>0</v>
      </c>
      <c r="L17" s="63">
        <f t="shared" si="11"/>
        <v>0</v>
      </c>
      <c r="M17" s="63">
        <f t="shared" si="11"/>
        <v>0</v>
      </c>
      <c r="N17" s="63">
        <f t="shared" si="11"/>
        <v>0</v>
      </c>
      <c r="O17" s="63">
        <f t="shared" si="11"/>
        <v>0</v>
      </c>
      <c r="P17" s="63">
        <f t="shared" si="11"/>
        <v>0</v>
      </c>
      <c r="Q17" s="63">
        <f t="shared" si="11"/>
        <v>0</v>
      </c>
    </row>
    <row r="18" spans="1:17" ht="12.75">
      <c r="A18" s="60" t="s">
        <v>33</v>
      </c>
      <c r="B18" s="60" t="s">
        <v>34</v>
      </c>
      <c r="C18" s="56"/>
      <c r="D18" s="56">
        <v>0</v>
      </c>
      <c r="E18" s="56">
        <v>0</v>
      </c>
      <c r="F18" s="56">
        <v>0</v>
      </c>
      <c r="G18" s="63">
        <f>+F18*1.2</f>
        <v>0</v>
      </c>
      <c r="H18" s="63">
        <f aca="true" t="shared" si="12" ref="H18:Q18">+G18*1.2</f>
        <v>0</v>
      </c>
      <c r="I18" s="63">
        <f t="shared" si="12"/>
        <v>0</v>
      </c>
      <c r="J18" s="63">
        <f t="shared" si="12"/>
        <v>0</v>
      </c>
      <c r="K18" s="63">
        <f t="shared" si="12"/>
        <v>0</v>
      </c>
      <c r="L18" s="63">
        <f t="shared" si="12"/>
        <v>0</v>
      </c>
      <c r="M18" s="63">
        <f t="shared" si="12"/>
        <v>0</v>
      </c>
      <c r="N18" s="63">
        <f t="shared" si="12"/>
        <v>0</v>
      </c>
      <c r="O18" s="63">
        <f t="shared" si="12"/>
        <v>0</v>
      </c>
      <c r="P18" s="63">
        <f t="shared" si="12"/>
        <v>0</v>
      </c>
      <c r="Q18" s="63">
        <f t="shared" si="12"/>
        <v>0</v>
      </c>
    </row>
    <row r="19" spans="1:17" ht="12.75">
      <c r="A19" s="55" t="s">
        <v>35</v>
      </c>
      <c r="B19" s="55" t="s">
        <v>36</v>
      </c>
      <c r="C19" s="56"/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7">
        <v>0</v>
      </c>
    </row>
    <row r="20" spans="1:17" ht="12.75">
      <c r="A20" s="55" t="s">
        <v>21</v>
      </c>
      <c r="B20" s="55" t="s">
        <v>37</v>
      </c>
      <c r="C20" s="56"/>
      <c r="D20" s="56">
        <v>0</v>
      </c>
      <c r="E20" s="56">
        <v>0</v>
      </c>
      <c r="F20" s="56">
        <v>0</v>
      </c>
      <c r="G20" s="63">
        <f>+F20*1.2</f>
        <v>0</v>
      </c>
      <c r="H20" s="63">
        <f aca="true" t="shared" si="13" ref="H20:Q20">+G20*1.1</f>
        <v>0</v>
      </c>
      <c r="I20" s="63">
        <f t="shared" si="13"/>
        <v>0</v>
      </c>
      <c r="J20" s="63">
        <f t="shared" si="13"/>
        <v>0</v>
      </c>
      <c r="K20" s="63">
        <f t="shared" si="13"/>
        <v>0</v>
      </c>
      <c r="L20" s="63">
        <f t="shared" si="13"/>
        <v>0</v>
      </c>
      <c r="M20" s="63">
        <f t="shared" si="13"/>
        <v>0</v>
      </c>
      <c r="N20" s="63">
        <f t="shared" si="13"/>
        <v>0</v>
      </c>
      <c r="O20" s="63">
        <f t="shared" si="13"/>
        <v>0</v>
      </c>
      <c r="P20" s="63">
        <f t="shared" si="13"/>
        <v>0</v>
      </c>
      <c r="Q20" s="63">
        <f t="shared" si="13"/>
        <v>0</v>
      </c>
    </row>
    <row r="21" spans="1:17" ht="12.75">
      <c r="A21" s="55" t="s">
        <v>23</v>
      </c>
      <c r="B21" s="55" t="s">
        <v>38</v>
      </c>
      <c r="C21" s="56"/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7">
        <v>0</v>
      </c>
    </row>
    <row r="22" spans="1:17" ht="12.75">
      <c r="A22" s="55" t="s">
        <v>39</v>
      </c>
      <c r="B22" s="55" t="s">
        <v>40</v>
      </c>
      <c r="C22" s="56"/>
      <c r="D22" s="56">
        <v>0</v>
      </c>
      <c r="E22" s="56">
        <v>0</v>
      </c>
      <c r="F22" s="56">
        <v>0</v>
      </c>
      <c r="G22" s="56">
        <v>0</v>
      </c>
      <c r="H22" s="56">
        <f>+USPEH!H36-'Amortizacijski načrt'!E18</f>
        <v>107321.30012564745</v>
      </c>
      <c r="I22" s="56">
        <f>+USPEH!I36-'Amortizacijski načrt'!E19+H22</f>
        <v>214642.6002512949</v>
      </c>
      <c r="J22" s="56">
        <f>+USPEH!J36-'Amortizacijski načrt'!E20+I22</f>
        <v>321963.90037694236</v>
      </c>
      <c r="K22" s="56">
        <f>+USPEH!K36-'Amortizacijski načrt'!E21+J22</f>
        <v>429285.2005025898</v>
      </c>
      <c r="L22" s="56">
        <f>+USPEH!L36-'Amortizacijski načrt'!E22+K22</f>
        <v>536606.5006282373</v>
      </c>
      <c r="M22" s="56">
        <f>+USPEH!M36-'Amortizacijski načrt'!E23+L22</f>
        <v>643927.8007538847</v>
      </c>
      <c r="N22" s="56">
        <f>+USPEH!N36-'Amortizacijski načrt'!E24+M22</f>
        <v>751249.1008795322</v>
      </c>
      <c r="O22" s="56">
        <f>+USPEH!O36-'Amortizacijski načrt'!E25+N22</f>
        <v>858570.4010051796</v>
      </c>
      <c r="P22" s="56">
        <f>+USPEH!P36-'Amortizacijski načrt'!E26+O22</f>
        <v>965891.7011308271</v>
      </c>
      <c r="Q22" s="57">
        <f>+USPEH!Q36-'Amortizacijski načrt'!E27+P22</f>
        <v>1073213.0012564745</v>
      </c>
    </row>
    <row r="23" spans="1:17" ht="12.75">
      <c r="A23" s="55" t="s">
        <v>41</v>
      </c>
      <c r="B23" s="55" t="s">
        <v>42</v>
      </c>
      <c r="C23" s="56"/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7">
        <v>0</v>
      </c>
    </row>
    <row r="24" spans="1:17" ht="12.75">
      <c r="A24" s="64" t="s">
        <v>43</v>
      </c>
      <c r="B24" s="64" t="s">
        <v>44</v>
      </c>
      <c r="C24" s="65">
        <f aca="true" t="shared" si="14" ref="C24:I24">SUM(C6+C13)</f>
        <v>0</v>
      </c>
      <c r="D24" s="65">
        <f t="shared" si="14"/>
        <v>382500</v>
      </c>
      <c r="E24" s="66">
        <f t="shared" si="14"/>
        <v>956720</v>
      </c>
      <c r="F24" s="66">
        <f t="shared" si="14"/>
        <v>3255220</v>
      </c>
      <c r="G24" s="66">
        <f t="shared" si="14"/>
        <v>8098220</v>
      </c>
      <c r="H24" s="66">
        <f t="shared" si="14"/>
        <v>8205541.300125647</v>
      </c>
      <c r="I24" s="66">
        <f t="shared" si="14"/>
        <v>8312862.600251295</v>
      </c>
      <c r="J24" s="66">
        <f aca="true" t="shared" si="15" ref="J24:Q24">SUM(J6+J13)</f>
        <v>8420183.900376942</v>
      </c>
      <c r="K24" s="66">
        <f t="shared" si="15"/>
        <v>8527505.20050259</v>
      </c>
      <c r="L24" s="66">
        <f t="shared" si="15"/>
        <v>8634826.500628237</v>
      </c>
      <c r="M24" s="66">
        <f t="shared" si="15"/>
        <v>8742147.800753884</v>
      </c>
      <c r="N24" s="66">
        <f t="shared" si="15"/>
        <v>8849469.100879531</v>
      </c>
      <c r="O24" s="66">
        <f t="shared" si="15"/>
        <v>8956790.401005179</v>
      </c>
      <c r="P24" s="66">
        <f t="shared" si="15"/>
        <v>9064111.701130828</v>
      </c>
      <c r="Q24" s="66">
        <f t="shared" si="15"/>
        <v>9171433.001256475</v>
      </c>
    </row>
    <row r="25" spans="1:17" ht="12.75">
      <c r="A25" s="60" t="s">
        <v>45</v>
      </c>
      <c r="B25" s="60" t="s">
        <v>46</v>
      </c>
      <c r="C25" s="61">
        <v>0</v>
      </c>
      <c r="D25" s="61">
        <v>0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1:17" ht="12.75">
      <c r="A26" s="51" t="s">
        <v>11</v>
      </c>
      <c r="B26" s="51" t="s">
        <v>47</v>
      </c>
      <c r="C26" s="53">
        <f aca="true" t="shared" si="16" ref="C26:I26">SUM(C27+C28+C29+C30-C31+C32+C33-C34)</f>
        <v>0</v>
      </c>
      <c r="D26" s="53">
        <f t="shared" si="16"/>
        <v>382500</v>
      </c>
      <c r="E26" s="54">
        <f t="shared" si="16"/>
        <v>956720</v>
      </c>
      <c r="F26" s="54">
        <f t="shared" si="16"/>
        <v>2257220</v>
      </c>
      <c r="G26" s="54">
        <f t="shared" si="16"/>
        <v>4982690</v>
      </c>
      <c r="H26" s="54">
        <f t="shared" si="16"/>
        <v>5326380.2</v>
      </c>
      <c r="I26" s="54">
        <f t="shared" si="16"/>
        <v>5684252.533992461</v>
      </c>
      <c r="J26" s="54">
        <f aca="true" t="shared" si="17" ref="J26:Q26">SUM(J27+J28+J29+J30-J31+J32+J33-J34)</f>
        <v>6057157.930016931</v>
      </c>
      <c r="K26" s="54">
        <f t="shared" si="17"/>
        <v>6445998.37179533</v>
      </c>
      <c r="L26" s="54">
        <f t="shared" si="17"/>
        <v>6851729.962072895</v>
      </c>
      <c r="M26" s="54">
        <f t="shared" si="17"/>
        <v>7275366.169759573</v>
      </c>
      <c r="N26" s="54">
        <f t="shared" si="17"/>
        <v>7717981.271899914</v>
      </c>
      <c r="O26" s="54">
        <f t="shared" si="17"/>
        <v>8180714.002161138</v>
      </c>
      <c r="P26" s="54">
        <f t="shared" si="17"/>
        <v>8664771.418230494</v>
      </c>
      <c r="Q26" s="54">
        <f t="shared" si="17"/>
        <v>9171433.001256477</v>
      </c>
    </row>
    <row r="27" spans="1:17" ht="12.75">
      <c r="A27" s="55" t="s">
        <v>48</v>
      </c>
      <c r="B27" s="55" t="s">
        <v>49</v>
      </c>
      <c r="C27" s="56"/>
      <c r="D27" s="56">
        <v>382500</v>
      </c>
      <c r="E27" s="56">
        <f>+D27+574220</f>
        <v>956720</v>
      </c>
      <c r="F27" s="56">
        <f>+E27+1300500</f>
        <v>2257220</v>
      </c>
      <c r="G27" s="56">
        <f>+F27+2725470</f>
        <v>4982690</v>
      </c>
      <c r="H27" s="56">
        <f aca="true" t="shared" si="18" ref="H27:Q27">+G27</f>
        <v>4982690</v>
      </c>
      <c r="I27" s="56">
        <f t="shared" si="18"/>
        <v>4982690</v>
      </c>
      <c r="J27" s="56">
        <f t="shared" si="18"/>
        <v>4982690</v>
      </c>
      <c r="K27" s="56">
        <f t="shared" si="18"/>
        <v>4982690</v>
      </c>
      <c r="L27" s="56">
        <f t="shared" si="18"/>
        <v>4982690</v>
      </c>
      <c r="M27" s="56">
        <f t="shared" si="18"/>
        <v>4982690</v>
      </c>
      <c r="N27" s="56">
        <f t="shared" si="18"/>
        <v>4982690</v>
      </c>
      <c r="O27" s="56">
        <f t="shared" si="18"/>
        <v>4982690</v>
      </c>
      <c r="P27" s="56">
        <f t="shared" si="18"/>
        <v>4982690</v>
      </c>
      <c r="Q27" s="57">
        <f t="shared" si="18"/>
        <v>4982690</v>
      </c>
    </row>
    <row r="28" spans="1:17" ht="12.75">
      <c r="A28" s="55" t="s">
        <v>15</v>
      </c>
      <c r="B28" s="55" t="s">
        <v>50</v>
      </c>
      <c r="C28" s="56"/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7">
        <v>0</v>
      </c>
    </row>
    <row r="29" spans="1:17" ht="12.75">
      <c r="A29" s="55" t="s">
        <v>51</v>
      </c>
      <c r="B29" s="55" t="s">
        <v>52</v>
      </c>
      <c r="C29" s="56"/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7">
        <v>0</v>
      </c>
    </row>
    <row r="30" spans="1:17" ht="12.75">
      <c r="A30" s="55" t="s">
        <v>23</v>
      </c>
      <c r="B30" s="55" t="s">
        <v>53</v>
      </c>
      <c r="C30" s="56"/>
      <c r="D30" s="56">
        <f>+C30+C33</f>
        <v>0</v>
      </c>
      <c r="E30" s="56">
        <f aca="true" t="shared" si="19" ref="E30:Q30">+D30+D33</f>
        <v>0</v>
      </c>
      <c r="F30" s="56">
        <f t="shared" si="19"/>
        <v>0</v>
      </c>
      <c r="G30" s="56">
        <f t="shared" si="19"/>
        <v>0</v>
      </c>
      <c r="H30" s="56">
        <f t="shared" si="19"/>
        <v>0</v>
      </c>
      <c r="I30" s="56">
        <f t="shared" si="19"/>
        <v>343690.19999999984</v>
      </c>
      <c r="J30" s="56">
        <f t="shared" si="19"/>
        <v>701562.5339924608</v>
      </c>
      <c r="K30" s="56">
        <f t="shared" si="19"/>
        <v>1074467.9300169307</v>
      </c>
      <c r="L30" s="56">
        <f t="shared" si="19"/>
        <v>1463308.3717953297</v>
      </c>
      <c r="M30" s="56">
        <f t="shared" si="19"/>
        <v>1869039.962072894</v>
      </c>
      <c r="N30" s="56">
        <f t="shared" si="19"/>
        <v>2292676.1697595734</v>
      </c>
      <c r="O30" s="56">
        <f t="shared" si="19"/>
        <v>2735291.271899915</v>
      </c>
      <c r="P30" s="56">
        <f t="shared" si="19"/>
        <v>3198024.0021611378</v>
      </c>
      <c r="Q30" s="57">
        <f t="shared" si="19"/>
        <v>3682081.4182304954</v>
      </c>
    </row>
    <row r="31" spans="1:17" ht="12.75">
      <c r="A31" s="55" t="s">
        <v>54</v>
      </c>
      <c r="B31" s="55" t="s">
        <v>55</v>
      </c>
      <c r="C31" s="56"/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7">
        <v>0</v>
      </c>
    </row>
    <row r="32" spans="1:17" ht="12.75">
      <c r="A32" s="60" t="s">
        <v>56</v>
      </c>
      <c r="B32" s="60" t="s">
        <v>57</v>
      </c>
      <c r="C32" s="61"/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2">
        <v>0</v>
      </c>
    </row>
    <row r="33" spans="1:17" ht="12.75">
      <c r="A33" s="60" t="s">
        <v>58</v>
      </c>
      <c r="B33" s="60" t="s">
        <v>59</v>
      </c>
      <c r="C33" s="61">
        <f>+USPEH!C36</f>
        <v>0</v>
      </c>
      <c r="D33" s="61">
        <f>+USPEH!D36</f>
        <v>0</v>
      </c>
      <c r="E33" s="61">
        <f>+USPEH!E36</f>
        <v>0</v>
      </c>
      <c r="F33" s="61">
        <f>+USPEH!F36</f>
        <v>0</v>
      </c>
      <c r="G33" s="61">
        <f>+USPEH!G36</f>
        <v>0</v>
      </c>
      <c r="H33" s="61">
        <f>+USPEH!H36</f>
        <v>343690.19999999984</v>
      </c>
      <c r="I33" s="61">
        <f>+USPEH!I36</f>
        <v>357872.333992461</v>
      </c>
      <c r="J33" s="61">
        <f>+USPEH!J36</f>
        <v>372905.39602446987</v>
      </c>
      <c r="K33" s="61">
        <f>+USPEH!K36</f>
        <v>388840.44177839917</v>
      </c>
      <c r="L33" s="61">
        <f>+USPEH!L36</f>
        <v>405731.5902775643</v>
      </c>
      <c r="M33" s="61">
        <f>+USPEH!M36</f>
        <v>423636.2076866793</v>
      </c>
      <c r="N33" s="61">
        <f>+USPEH!N36</f>
        <v>442615.1021403413</v>
      </c>
      <c r="O33" s="61">
        <f>+USPEH!O36</f>
        <v>462732.7302612229</v>
      </c>
      <c r="P33" s="61">
        <f>+USPEH!P36</f>
        <v>484057.4160693574</v>
      </c>
      <c r="Q33" s="62">
        <f>+USPEH!Q36</f>
        <v>506661.58302598004</v>
      </c>
    </row>
    <row r="34" spans="1:17" ht="12.75">
      <c r="A34" s="60" t="s">
        <v>60</v>
      </c>
      <c r="B34" s="60" t="s">
        <v>61</v>
      </c>
      <c r="C34" s="61"/>
      <c r="D34" s="61"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2">
        <v>0</v>
      </c>
    </row>
    <row r="35" spans="1:17" ht="12.75">
      <c r="A35" s="55" t="s">
        <v>25</v>
      </c>
      <c r="B35" s="55" t="s">
        <v>62</v>
      </c>
      <c r="C35" s="56"/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7">
        <v>0</v>
      </c>
    </row>
    <row r="36" spans="1:17" ht="12.75">
      <c r="A36" s="55" t="s">
        <v>43</v>
      </c>
      <c r="B36" s="55" t="s">
        <v>63</v>
      </c>
      <c r="C36" s="58">
        <f>SUM(C37:C38)</f>
        <v>0</v>
      </c>
      <c r="D36" s="58">
        <f>SUM(D37:D38)</f>
        <v>0</v>
      </c>
      <c r="E36" s="58">
        <f aca="true" t="shared" si="20" ref="E36:M36">SUM(E37:E38)</f>
        <v>0</v>
      </c>
      <c r="F36" s="58">
        <f t="shared" si="20"/>
        <v>998000</v>
      </c>
      <c r="G36" s="58">
        <f t="shared" si="20"/>
        <v>3115530</v>
      </c>
      <c r="H36" s="58">
        <f t="shared" si="20"/>
        <v>2879161.1001256476</v>
      </c>
      <c r="I36" s="58">
        <f t="shared" si="20"/>
        <v>2628610.066258834</v>
      </c>
      <c r="J36" s="58">
        <f t="shared" si="20"/>
        <v>2363025.970360012</v>
      </c>
      <c r="K36" s="58">
        <f t="shared" si="20"/>
        <v>2081506.82870726</v>
      </c>
      <c r="L36" s="58">
        <f t="shared" si="20"/>
        <v>1783096.5385553432</v>
      </c>
      <c r="M36" s="58">
        <f t="shared" si="20"/>
        <v>1466781.6309943113</v>
      </c>
      <c r="N36" s="58">
        <f>SUM(N37:N38)</f>
        <v>1131487.8289796175</v>
      </c>
      <c r="O36" s="58">
        <f>SUM(O37:O38)</f>
        <v>776076.398844042</v>
      </c>
      <c r="P36" s="58">
        <f>SUM(P37:P38)</f>
        <v>399340.282900332</v>
      </c>
      <c r="Q36" s="68">
        <f>SUM(Q37:Q38)</f>
        <v>-5.820766091346741E-10</v>
      </c>
    </row>
    <row r="37" spans="1:17" ht="12.75">
      <c r="A37" s="55" t="s">
        <v>64</v>
      </c>
      <c r="B37" s="55" t="s">
        <v>65</v>
      </c>
      <c r="C37" s="56"/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7">
        <v>0</v>
      </c>
    </row>
    <row r="38" spans="1:18" ht="12.75">
      <c r="A38" s="60" t="s">
        <v>66</v>
      </c>
      <c r="B38" s="55" t="s">
        <v>67</v>
      </c>
      <c r="C38" s="56"/>
      <c r="D38" s="61">
        <v>0</v>
      </c>
      <c r="E38" s="61">
        <v>0</v>
      </c>
      <c r="F38" s="61">
        <v>998000</v>
      </c>
      <c r="G38" s="61">
        <f>+F38+2117530</f>
        <v>3115530</v>
      </c>
      <c r="H38" s="61">
        <f>+G38-'Amortizacijski načrt'!E18</f>
        <v>2879161.1001256476</v>
      </c>
      <c r="I38" s="61">
        <f>+H38-'Amortizacijski načrt'!E19</f>
        <v>2628610.066258834</v>
      </c>
      <c r="J38" s="61">
        <f>+I38-'Amortizacijski načrt'!E20</f>
        <v>2363025.970360012</v>
      </c>
      <c r="K38" s="61">
        <f>+J38-'Amortizacijski načrt'!E21</f>
        <v>2081506.82870726</v>
      </c>
      <c r="L38" s="61">
        <f>+K38-'Amortizacijski načrt'!E22</f>
        <v>1783096.5385553432</v>
      </c>
      <c r="M38" s="61">
        <f>+L38-'Amortizacijski načrt'!E23</f>
        <v>1466781.6309943113</v>
      </c>
      <c r="N38" s="61">
        <f>+M38-'Amortizacijski načrt'!E24</f>
        <v>1131487.8289796175</v>
      </c>
      <c r="O38" s="61">
        <f>+N38-'Amortizacijski načrt'!E25</f>
        <v>776076.398844042</v>
      </c>
      <c r="P38" s="61">
        <f>+O38-'Amortizacijski načrt'!E26</f>
        <v>399340.282900332</v>
      </c>
      <c r="Q38" s="62">
        <f>+P38-'Amortizacijski načrt'!E27</f>
        <v>-5.820766091346741E-10</v>
      </c>
      <c r="R38" s="1"/>
    </row>
    <row r="39" spans="1:17" ht="12.75">
      <c r="A39" s="55" t="s">
        <v>45</v>
      </c>
      <c r="B39" s="55" t="s">
        <v>68</v>
      </c>
      <c r="C39" s="58">
        <f>SUM(C40:C41)</f>
        <v>0</v>
      </c>
      <c r="D39" s="58">
        <f>SUM(D40:D41)</f>
        <v>0</v>
      </c>
      <c r="E39" s="58">
        <f aca="true" t="shared" si="21" ref="E39:Q39">SUM(E40:E41)</f>
        <v>0</v>
      </c>
      <c r="F39" s="58">
        <f t="shared" si="21"/>
        <v>0</v>
      </c>
      <c r="G39" s="58">
        <f t="shared" si="21"/>
        <v>0</v>
      </c>
      <c r="H39" s="58">
        <f t="shared" si="21"/>
        <v>0</v>
      </c>
      <c r="I39" s="58">
        <f t="shared" si="21"/>
        <v>0</v>
      </c>
      <c r="J39" s="58">
        <f t="shared" si="21"/>
        <v>0</v>
      </c>
      <c r="K39" s="58">
        <f t="shared" si="21"/>
        <v>0</v>
      </c>
      <c r="L39" s="58">
        <f t="shared" si="21"/>
        <v>0</v>
      </c>
      <c r="M39" s="58">
        <f t="shared" si="21"/>
        <v>0</v>
      </c>
      <c r="N39" s="58">
        <f t="shared" si="21"/>
        <v>0</v>
      </c>
      <c r="O39" s="58">
        <f t="shared" si="21"/>
        <v>0</v>
      </c>
      <c r="P39" s="58">
        <f t="shared" si="21"/>
        <v>0</v>
      </c>
      <c r="Q39" s="68">
        <f t="shared" si="21"/>
        <v>0</v>
      </c>
    </row>
    <row r="40" spans="1:17" ht="12.75">
      <c r="A40" s="55" t="s">
        <v>64</v>
      </c>
      <c r="B40" s="55" t="s">
        <v>69</v>
      </c>
      <c r="C40" s="56"/>
      <c r="D40" s="56">
        <v>0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7">
        <v>0</v>
      </c>
    </row>
    <row r="41" spans="1:17" ht="12.75">
      <c r="A41" s="60" t="s">
        <v>66</v>
      </c>
      <c r="B41" s="55" t="s">
        <v>70</v>
      </c>
      <c r="C41" s="61"/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2">
        <v>0</v>
      </c>
    </row>
    <row r="42" spans="1:17" ht="12.75">
      <c r="A42" s="55" t="s">
        <v>71</v>
      </c>
      <c r="B42" s="55" t="s">
        <v>72</v>
      </c>
      <c r="C42" s="56"/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98">
        <v>0</v>
      </c>
    </row>
    <row r="43" spans="1:17" ht="12.75">
      <c r="A43" s="69" t="s">
        <v>73</v>
      </c>
      <c r="B43" s="69" t="s">
        <v>74</v>
      </c>
      <c r="C43" s="70">
        <f aca="true" t="shared" si="22" ref="C43:I43">SUM(C26+C35+C36+C39+C42)</f>
        <v>0</v>
      </c>
      <c r="D43" s="70">
        <f t="shared" si="22"/>
        <v>382500</v>
      </c>
      <c r="E43" s="71">
        <f t="shared" si="22"/>
        <v>956720</v>
      </c>
      <c r="F43" s="71">
        <f t="shared" si="22"/>
        <v>3255220</v>
      </c>
      <c r="G43" s="71">
        <f t="shared" si="22"/>
        <v>8098220</v>
      </c>
      <c r="H43" s="71">
        <f t="shared" si="22"/>
        <v>8205541.300125647</v>
      </c>
      <c r="I43" s="71">
        <f t="shared" si="22"/>
        <v>8312862.600251295</v>
      </c>
      <c r="J43" s="71">
        <f aca="true" t="shared" si="23" ref="J43:Q43">SUM(J26+J35+J36+J39+J42)</f>
        <v>8420183.900376942</v>
      </c>
      <c r="K43" s="71">
        <f t="shared" si="23"/>
        <v>8527505.20050259</v>
      </c>
      <c r="L43" s="71">
        <f t="shared" si="23"/>
        <v>8634826.500628239</v>
      </c>
      <c r="M43" s="71">
        <f t="shared" si="23"/>
        <v>8742147.800753884</v>
      </c>
      <c r="N43" s="71">
        <f t="shared" si="23"/>
        <v>8849469.100879531</v>
      </c>
      <c r="O43" s="71">
        <f t="shared" si="23"/>
        <v>8956790.40100518</v>
      </c>
      <c r="P43" s="71">
        <f t="shared" si="23"/>
        <v>9064111.701130826</v>
      </c>
      <c r="Q43" s="71">
        <f t="shared" si="23"/>
        <v>9171433.001256477</v>
      </c>
    </row>
    <row r="44" spans="1:17" ht="12.75">
      <c r="A44" s="72" t="s">
        <v>75</v>
      </c>
      <c r="B44" s="72" t="s">
        <v>76</v>
      </c>
      <c r="C44" s="73">
        <v>0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6" ht="12.75">
      <c r="A46" s="4" t="s">
        <v>223</v>
      </c>
    </row>
    <row r="47" spans="1:17" ht="12.75">
      <c r="A47" s="4" t="s">
        <v>224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</row>
    <row r="48" spans="1:4" ht="12.75">
      <c r="A48" s="4" t="s">
        <v>225</v>
      </c>
      <c r="D48" s="44"/>
    </row>
    <row r="50" spans="2:17" s="99" customFormat="1" ht="12.75">
      <c r="B50" s="99" t="s">
        <v>205</v>
      </c>
      <c r="C50" s="100">
        <f aca="true" t="shared" si="24" ref="C50:Q50">+C24-C43</f>
        <v>0</v>
      </c>
      <c r="D50" s="100">
        <f t="shared" si="24"/>
        <v>0</v>
      </c>
      <c r="E50" s="100">
        <f t="shared" si="24"/>
        <v>0</v>
      </c>
      <c r="F50" s="100">
        <f t="shared" si="24"/>
        <v>0</v>
      </c>
      <c r="G50" s="100">
        <f t="shared" si="24"/>
        <v>0</v>
      </c>
      <c r="H50" s="100">
        <f t="shared" si="24"/>
        <v>0</v>
      </c>
      <c r="I50" s="100">
        <f t="shared" si="24"/>
        <v>0</v>
      </c>
      <c r="J50" s="100">
        <f t="shared" si="24"/>
        <v>0</v>
      </c>
      <c r="K50" s="100">
        <f t="shared" si="24"/>
        <v>0</v>
      </c>
      <c r="L50" s="100">
        <f t="shared" si="24"/>
        <v>0</v>
      </c>
      <c r="M50" s="100">
        <f t="shared" si="24"/>
        <v>0</v>
      </c>
      <c r="N50" s="100">
        <f t="shared" si="24"/>
        <v>0</v>
      </c>
      <c r="O50" s="100">
        <f t="shared" si="24"/>
        <v>0</v>
      </c>
      <c r="P50" s="100">
        <f t="shared" si="24"/>
        <v>0</v>
      </c>
      <c r="Q50" s="100">
        <f t="shared" si="24"/>
        <v>0</v>
      </c>
    </row>
  </sheetData>
  <printOptions horizontalCentered="1"/>
  <pageMargins left="0.748031496062992" right="0.748031496062992" top="0.984251968503937" bottom="0.984251968503937" header="0.511811023622047" footer="0.511811023622047"/>
  <pageSetup fitToHeight="1" fitToWidth="1" horizontalDpi="360" verticalDpi="36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zoomScale="75" zoomScaleNormal="75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2" width="38.625" style="1" customWidth="1"/>
    <col min="3" max="3" width="8.625" style="1" hidden="1" customWidth="1"/>
    <col min="4" max="7" width="9.875" style="1" bestFit="1" customWidth="1"/>
    <col min="8" max="8" width="10.375" style="1" bestFit="1" customWidth="1"/>
    <col min="9" max="17" width="9.875" style="1" bestFit="1" customWidth="1"/>
    <col min="18" max="18" width="9.25390625" style="1" bestFit="1" customWidth="1"/>
    <col min="19" max="16384" width="8.375" style="1" customWidth="1"/>
  </cols>
  <sheetData>
    <row r="1" ht="15">
      <c r="A1" s="94" t="s">
        <v>206</v>
      </c>
    </row>
    <row r="3" spans="1:4" ht="12.75">
      <c r="A3" s="75" t="s">
        <v>77</v>
      </c>
      <c r="D3" s="76"/>
    </row>
    <row r="4" spans="3:17" ht="12.75">
      <c r="C4" s="77"/>
      <c r="D4" s="77"/>
      <c r="E4" s="78"/>
      <c r="F4" s="78"/>
      <c r="G4" s="78"/>
      <c r="H4" s="50" t="s">
        <v>219</v>
      </c>
      <c r="I4" s="78"/>
      <c r="J4" s="78"/>
      <c r="K4" s="78"/>
      <c r="L4" s="78"/>
      <c r="M4" s="78"/>
      <c r="N4" s="78"/>
      <c r="O4" s="78"/>
      <c r="P4" s="78"/>
      <c r="Q4" s="78"/>
    </row>
    <row r="5" spans="1:17" ht="12.75">
      <c r="A5" s="73"/>
      <c r="B5" s="73" t="s">
        <v>220</v>
      </c>
      <c r="C5" s="79">
        <v>2001</v>
      </c>
      <c r="D5" s="79">
        <v>2002</v>
      </c>
      <c r="E5" s="79">
        <v>2003</v>
      </c>
      <c r="F5" s="79">
        <v>2004</v>
      </c>
      <c r="G5" s="79">
        <v>2005</v>
      </c>
      <c r="H5" s="79">
        <v>2006</v>
      </c>
      <c r="I5" s="79">
        <v>2007</v>
      </c>
      <c r="J5" s="79">
        <v>2008</v>
      </c>
      <c r="K5" s="79">
        <v>2009</v>
      </c>
      <c r="L5" s="79">
        <v>2010</v>
      </c>
      <c r="M5" s="79">
        <v>2011</v>
      </c>
      <c r="N5" s="79">
        <v>2012</v>
      </c>
      <c r="O5" s="79">
        <v>2013</v>
      </c>
      <c r="P5" s="79">
        <v>2014</v>
      </c>
      <c r="Q5" s="79">
        <v>2015</v>
      </c>
    </row>
    <row r="6" spans="1:17" ht="12.75">
      <c r="A6" s="56" t="s">
        <v>11</v>
      </c>
      <c r="B6" s="56" t="s">
        <v>78</v>
      </c>
      <c r="C6" s="80">
        <f>SUM(C7:C8)</f>
        <v>0</v>
      </c>
      <c r="D6" s="80">
        <f>SUM(D7:D8)</f>
        <v>0</v>
      </c>
      <c r="E6" s="81">
        <f aca="true" t="shared" si="0" ref="E6:Q6">SUM(E7:E8)</f>
        <v>0</v>
      </c>
      <c r="F6" s="81">
        <f t="shared" si="0"/>
        <v>0</v>
      </c>
      <c r="G6" s="81">
        <f t="shared" si="0"/>
        <v>0</v>
      </c>
      <c r="H6" s="81">
        <f t="shared" si="0"/>
        <v>715572</v>
      </c>
      <c r="I6" s="81">
        <f t="shared" si="0"/>
        <v>715572</v>
      </c>
      <c r="J6" s="81">
        <f t="shared" si="0"/>
        <v>715572</v>
      </c>
      <c r="K6" s="81">
        <f t="shared" si="0"/>
        <v>715572</v>
      </c>
      <c r="L6" s="81">
        <f t="shared" si="0"/>
        <v>715572</v>
      </c>
      <c r="M6" s="81">
        <f t="shared" si="0"/>
        <v>715572</v>
      </c>
      <c r="N6" s="81">
        <f t="shared" si="0"/>
        <v>715572</v>
      </c>
      <c r="O6" s="81">
        <f t="shared" si="0"/>
        <v>715572</v>
      </c>
      <c r="P6" s="81">
        <f t="shared" si="0"/>
        <v>715572</v>
      </c>
      <c r="Q6" s="81">
        <f t="shared" si="0"/>
        <v>715572</v>
      </c>
    </row>
    <row r="7" spans="1:17" ht="12.75">
      <c r="A7" s="56" t="s">
        <v>27</v>
      </c>
      <c r="B7" s="56" t="s">
        <v>226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2">
        <v>176052</v>
      </c>
      <c r="I7" s="82">
        <v>176052</v>
      </c>
      <c r="J7" s="82">
        <v>176052</v>
      </c>
      <c r="K7" s="82">
        <v>176052</v>
      </c>
      <c r="L7" s="82">
        <v>176052</v>
      </c>
      <c r="M7" s="82">
        <v>176052</v>
      </c>
      <c r="N7" s="82">
        <v>176052</v>
      </c>
      <c r="O7" s="82">
        <v>176052</v>
      </c>
      <c r="P7" s="82">
        <v>176052</v>
      </c>
      <c r="Q7" s="82">
        <v>176052</v>
      </c>
    </row>
    <row r="8" spans="1:17" ht="12.75">
      <c r="A8" s="56" t="s">
        <v>15</v>
      </c>
      <c r="B8" s="56" t="s">
        <v>227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82">
        <f>(59631-14671)*12</f>
        <v>539520</v>
      </c>
      <c r="I8" s="82">
        <f aca="true" t="shared" si="1" ref="I8:Q8">(59631-14671)*12</f>
        <v>539520</v>
      </c>
      <c r="J8" s="82">
        <f t="shared" si="1"/>
        <v>539520</v>
      </c>
      <c r="K8" s="82">
        <f t="shared" si="1"/>
        <v>539520</v>
      </c>
      <c r="L8" s="82">
        <f t="shared" si="1"/>
        <v>539520</v>
      </c>
      <c r="M8" s="82">
        <f t="shared" si="1"/>
        <v>539520</v>
      </c>
      <c r="N8" s="82">
        <f t="shared" si="1"/>
        <v>539520</v>
      </c>
      <c r="O8" s="82">
        <f t="shared" si="1"/>
        <v>539520</v>
      </c>
      <c r="P8" s="82">
        <f t="shared" si="1"/>
        <v>539520</v>
      </c>
      <c r="Q8" s="82">
        <f t="shared" si="1"/>
        <v>539520</v>
      </c>
    </row>
    <row r="9" spans="1:17" ht="12.75">
      <c r="A9" s="56" t="s">
        <v>25</v>
      </c>
      <c r="B9" s="56" t="s">
        <v>80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96">
        <v>0</v>
      </c>
    </row>
    <row r="10" spans="1:17" ht="12.75">
      <c r="A10" s="56" t="s">
        <v>43</v>
      </c>
      <c r="B10" s="56" t="s">
        <v>81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96">
        <v>0</v>
      </c>
    </row>
    <row r="11" spans="1:17" ht="12.75">
      <c r="A11" s="56" t="s">
        <v>71</v>
      </c>
      <c r="B11" s="56" t="s">
        <v>82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96">
        <v>0</v>
      </c>
    </row>
    <row r="12" spans="1:17" ht="12.75">
      <c r="A12" s="83" t="s">
        <v>73</v>
      </c>
      <c r="B12" s="83" t="s">
        <v>83</v>
      </c>
      <c r="C12" s="84"/>
      <c r="D12" s="85">
        <f>+D6+D9+D10+D11</f>
        <v>0</v>
      </c>
      <c r="E12" s="85">
        <f aca="true" t="shared" si="2" ref="E12:Q12">+E6+E9+E10+E11</f>
        <v>0</v>
      </c>
      <c r="F12" s="85">
        <f t="shared" si="2"/>
        <v>0</v>
      </c>
      <c r="G12" s="85">
        <f t="shared" si="2"/>
        <v>0</v>
      </c>
      <c r="H12" s="85">
        <f t="shared" si="2"/>
        <v>715572</v>
      </c>
      <c r="I12" s="85">
        <f t="shared" si="2"/>
        <v>715572</v>
      </c>
      <c r="J12" s="85">
        <f t="shared" si="2"/>
        <v>715572</v>
      </c>
      <c r="K12" s="85">
        <f t="shared" si="2"/>
        <v>715572</v>
      </c>
      <c r="L12" s="85">
        <f t="shared" si="2"/>
        <v>715572</v>
      </c>
      <c r="M12" s="85">
        <f t="shared" si="2"/>
        <v>715572</v>
      </c>
      <c r="N12" s="85">
        <f t="shared" si="2"/>
        <v>715572</v>
      </c>
      <c r="O12" s="85">
        <f t="shared" si="2"/>
        <v>715572</v>
      </c>
      <c r="P12" s="85">
        <f t="shared" si="2"/>
        <v>715572</v>
      </c>
      <c r="Q12" s="97">
        <f t="shared" si="2"/>
        <v>715572</v>
      </c>
    </row>
    <row r="13" spans="1:17" ht="12.75">
      <c r="A13" s="56" t="s">
        <v>75</v>
      </c>
      <c r="B13" s="56" t="s">
        <v>84</v>
      </c>
      <c r="C13" s="80">
        <f aca="true" t="shared" si="3" ref="C13:I13">SUM(C14:C16)</f>
        <v>0</v>
      </c>
      <c r="D13" s="58">
        <f t="shared" si="3"/>
        <v>0</v>
      </c>
      <c r="E13" s="81">
        <f t="shared" si="3"/>
        <v>0</v>
      </c>
      <c r="F13" s="81">
        <f t="shared" si="3"/>
        <v>0</v>
      </c>
      <c r="G13" s="81">
        <f t="shared" si="3"/>
        <v>0</v>
      </c>
      <c r="H13" s="81">
        <f t="shared" si="3"/>
        <v>0</v>
      </c>
      <c r="I13" s="81">
        <f t="shared" si="3"/>
        <v>0</v>
      </c>
      <c r="J13" s="81">
        <f aca="true" t="shared" si="4" ref="J13:Q13">SUM(J14:J16)</f>
        <v>0</v>
      </c>
      <c r="K13" s="81">
        <f t="shared" si="4"/>
        <v>0</v>
      </c>
      <c r="L13" s="81">
        <f t="shared" si="4"/>
        <v>0</v>
      </c>
      <c r="M13" s="81">
        <f t="shared" si="4"/>
        <v>0</v>
      </c>
      <c r="N13" s="81">
        <f t="shared" si="4"/>
        <v>0</v>
      </c>
      <c r="O13" s="81">
        <f t="shared" si="4"/>
        <v>0</v>
      </c>
      <c r="P13" s="81">
        <f t="shared" si="4"/>
        <v>0</v>
      </c>
      <c r="Q13" s="81">
        <f t="shared" si="4"/>
        <v>0</v>
      </c>
    </row>
    <row r="14" spans="1:17" ht="12.75">
      <c r="A14" s="56" t="s">
        <v>27</v>
      </c>
      <c r="B14" s="56" t="s">
        <v>85</v>
      </c>
      <c r="C14" s="80"/>
      <c r="D14" s="56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</row>
    <row r="15" spans="1:17" ht="12.75">
      <c r="A15" s="56" t="s">
        <v>15</v>
      </c>
      <c r="B15" s="56" t="s">
        <v>86</v>
      </c>
      <c r="C15" s="80"/>
      <c r="D15" s="58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</row>
    <row r="16" spans="1:17" ht="12.75">
      <c r="A16" s="56" t="s">
        <v>21</v>
      </c>
      <c r="B16" s="56" t="s">
        <v>87</v>
      </c>
      <c r="C16" s="80"/>
      <c r="D16" s="58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</row>
    <row r="17" spans="1:17" ht="12.75">
      <c r="A17" s="56" t="s">
        <v>88</v>
      </c>
      <c r="B17" s="56" t="s">
        <v>89</v>
      </c>
      <c r="C17" s="80"/>
      <c r="D17" s="80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1:17" ht="12.75">
      <c r="A18" s="61" t="s">
        <v>64</v>
      </c>
      <c r="B18" s="61" t="s">
        <v>90</v>
      </c>
      <c r="C18" s="80"/>
      <c r="D18" s="87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</row>
    <row r="19" spans="1:17" ht="12.75">
      <c r="A19" s="56" t="s">
        <v>66</v>
      </c>
      <c r="B19" s="56" t="s">
        <v>91</v>
      </c>
      <c r="C19" s="80"/>
      <c r="D19" s="58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</row>
    <row r="20" spans="1:17" ht="12.75">
      <c r="A20" s="61" t="s">
        <v>51</v>
      </c>
      <c r="B20" s="61" t="s">
        <v>92</v>
      </c>
      <c r="C20" s="80"/>
      <c r="D20" s="87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</row>
    <row r="21" spans="1:17" ht="12.75">
      <c r="A21" s="56" t="s">
        <v>93</v>
      </c>
      <c r="B21" s="56" t="s">
        <v>94</v>
      </c>
      <c r="C21" s="80"/>
      <c r="D21" s="56"/>
      <c r="E21" s="82"/>
      <c r="F21" s="82"/>
      <c r="G21" s="82"/>
      <c r="H21" s="82">
        <f>+Investicija!$F$12</f>
        <v>184950</v>
      </c>
      <c r="I21" s="82">
        <f>+Investicija!$F$12</f>
        <v>184950</v>
      </c>
      <c r="J21" s="82">
        <f>+Investicija!$F$12</f>
        <v>184950</v>
      </c>
      <c r="K21" s="82">
        <f>+Investicija!$F$12</f>
        <v>184950</v>
      </c>
      <c r="L21" s="82">
        <f>+Investicija!$F$12</f>
        <v>184950</v>
      </c>
      <c r="M21" s="82">
        <f>+Investicija!$F$12</f>
        <v>184950</v>
      </c>
      <c r="N21" s="82">
        <f>+Investicija!$F$12</f>
        <v>184950</v>
      </c>
      <c r="O21" s="82">
        <f>+Investicija!$F$12</f>
        <v>184950</v>
      </c>
      <c r="P21" s="82">
        <f>+Investicija!$F$12</f>
        <v>184950</v>
      </c>
      <c r="Q21" s="82">
        <f>+Investicija!$F$12</f>
        <v>184950</v>
      </c>
    </row>
    <row r="22" spans="1:17" ht="12.75">
      <c r="A22" s="56" t="s">
        <v>27</v>
      </c>
      <c r="B22" s="56" t="s">
        <v>95</v>
      </c>
      <c r="C22" s="80"/>
      <c r="D22" s="56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</row>
    <row r="23" spans="1:17" ht="12.75">
      <c r="A23" s="56" t="s">
        <v>96</v>
      </c>
      <c r="B23" s="56" t="s">
        <v>97</v>
      </c>
      <c r="C23" s="80"/>
      <c r="D23" s="56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17" ht="12.75">
      <c r="A24" s="56" t="s">
        <v>98</v>
      </c>
      <c r="B24" s="56" t="s">
        <v>99</v>
      </c>
      <c r="C24" s="80"/>
      <c r="D24" s="56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1:17" ht="12.75">
      <c r="A25" s="83" t="s">
        <v>100</v>
      </c>
      <c r="B25" s="83" t="s">
        <v>101</v>
      </c>
      <c r="C25" s="84">
        <f aca="true" t="shared" si="5" ref="C25:I25">SUM(C12-C13-C17-C21-C22-C23-C24)</f>
        <v>0</v>
      </c>
      <c r="D25" s="85">
        <f t="shared" si="5"/>
        <v>0</v>
      </c>
      <c r="E25" s="86">
        <f t="shared" si="5"/>
        <v>0</v>
      </c>
      <c r="F25" s="86">
        <f t="shared" si="5"/>
        <v>0</v>
      </c>
      <c r="G25" s="86">
        <f t="shared" si="5"/>
        <v>0</v>
      </c>
      <c r="H25" s="86">
        <f t="shared" si="5"/>
        <v>530622</v>
      </c>
      <c r="I25" s="86">
        <f t="shared" si="5"/>
        <v>530622</v>
      </c>
      <c r="J25" s="86">
        <f aca="true" t="shared" si="6" ref="J25:Q25">SUM(J12-J13-J17-J21-J22-J23-J24)</f>
        <v>530622</v>
      </c>
      <c r="K25" s="86">
        <f t="shared" si="6"/>
        <v>530622</v>
      </c>
      <c r="L25" s="86">
        <f t="shared" si="6"/>
        <v>530622</v>
      </c>
      <c r="M25" s="86">
        <f t="shared" si="6"/>
        <v>530622</v>
      </c>
      <c r="N25" s="86">
        <f t="shared" si="6"/>
        <v>530622</v>
      </c>
      <c r="O25" s="86">
        <f t="shared" si="6"/>
        <v>530622</v>
      </c>
      <c r="P25" s="86">
        <f t="shared" si="6"/>
        <v>530622</v>
      </c>
      <c r="Q25" s="86">
        <f t="shared" si="6"/>
        <v>530622</v>
      </c>
    </row>
    <row r="26" spans="1:17" ht="12.75">
      <c r="A26" s="56" t="s">
        <v>102</v>
      </c>
      <c r="B26" s="56" t="s">
        <v>103</v>
      </c>
      <c r="C26" s="80">
        <f aca="true" t="shared" si="7" ref="C26:I26">SUM(C27:C28)</f>
        <v>0</v>
      </c>
      <c r="D26" s="58">
        <f t="shared" si="7"/>
        <v>0</v>
      </c>
      <c r="E26" s="81">
        <f t="shared" si="7"/>
        <v>0</v>
      </c>
      <c r="F26" s="81">
        <f t="shared" si="7"/>
        <v>0</v>
      </c>
      <c r="G26" s="81">
        <f t="shared" si="7"/>
        <v>0</v>
      </c>
      <c r="H26" s="81">
        <f t="shared" si="7"/>
        <v>0</v>
      </c>
      <c r="I26" s="81">
        <f t="shared" si="7"/>
        <v>0</v>
      </c>
      <c r="J26" s="81">
        <f aca="true" t="shared" si="8" ref="J26:Q26">SUM(J27:J28)</f>
        <v>0</v>
      </c>
      <c r="K26" s="81">
        <f t="shared" si="8"/>
        <v>0</v>
      </c>
      <c r="L26" s="81">
        <f t="shared" si="8"/>
        <v>0</v>
      </c>
      <c r="M26" s="81">
        <f t="shared" si="8"/>
        <v>0</v>
      </c>
      <c r="N26" s="81">
        <f t="shared" si="8"/>
        <v>0</v>
      </c>
      <c r="O26" s="81">
        <f t="shared" si="8"/>
        <v>0</v>
      </c>
      <c r="P26" s="81">
        <f t="shared" si="8"/>
        <v>0</v>
      </c>
      <c r="Q26" s="81">
        <f t="shared" si="8"/>
        <v>0</v>
      </c>
    </row>
    <row r="27" spans="1:17" ht="12.75">
      <c r="A27" s="56" t="s">
        <v>64</v>
      </c>
      <c r="B27" s="56" t="s">
        <v>104</v>
      </c>
      <c r="C27" s="80"/>
      <c r="D27" s="56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1:17" ht="12.75">
      <c r="A28" s="61" t="s">
        <v>66</v>
      </c>
      <c r="B28" s="61" t="s">
        <v>105</v>
      </c>
      <c r="C28" s="80"/>
      <c r="D28" s="87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7" ht="12.75">
      <c r="A29" s="56" t="s">
        <v>106</v>
      </c>
      <c r="B29" s="56" t="s">
        <v>107</v>
      </c>
      <c r="C29" s="80"/>
      <c r="D29" s="56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17" ht="12.75">
      <c r="A30" s="56" t="s">
        <v>108</v>
      </c>
      <c r="B30" s="56" t="s">
        <v>109</v>
      </c>
      <c r="C30" s="80"/>
      <c r="D30" s="58"/>
      <c r="E30" s="82"/>
      <c r="F30" s="82"/>
      <c r="G30" s="82"/>
      <c r="H30" s="82">
        <f>+'Amortizacijski načrt'!D18</f>
        <v>186931.80000000016</v>
      </c>
      <c r="I30" s="82">
        <f>+'Amortizacijski načrt'!D19</f>
        <v>172749.66600753902</v>
      </c>
      <c r="J30" s="82">
        <f>+'Amortizacijski načrt'!D20</f>
        <v>157716.60397553016</v>
      </c>
      <c r="K30" s="82">
        <f>+'Amortizacijski načrt'!D21</f>
        <v>141781.55822160083</v>
      </c>
      <c r="L30" s="82">
        <f>+'Amortizacijski načrt'!D22</f>
        <v>124890.40972243568</v>
      </c>
      <c r="M30" s="82">
        <f>+'Amortizacijski načrt'!D23</f>
        <v>106985.79231332066</v>
      </c>
      <c r="N30" s="82">
        <f>+'Amortizacijski načrt'!D24</f>
        <v>88006.89785965871</v>
      </c>
      <c r="O30" s="82">
        <f>+'Amortizacijski načrt'!D25</f>
        <v>67889.26973877705</v>
      </c>
      <c r="P30" s="82">
        <f>+'Amortizacijski načrt'!D26</f>
        <v>46564.583930642555</v>
      </c>
      <c r="Q30" s="82">
        <f>+'Amortizacijski načrt'!D27</f>
        <v>23960.41697401997</v>
      </c>
    </row>
    <row r="31" spans="1:17" ht="12.75">
      <c r="A31" s="83" t="s">
        <v>110</v>
      </c>
      <c r="B31" s="83" t="s">
        <v>111</v>
      </c>
      <c r="C31" s="84">
        <f aca="true" t="shared" si="9" ref="C31:I31">SUM(C25+C26-C29-C30)</f>
        <v>0</v>
      </c>
      <c r="D31" s="85">
        <f t="shared" si="9"/>
        <v>0</v>
      </c>
      <c r="E31" s="86">
        <f t="shared" si="9"/>
        <v>0</v>
      </c>
      <c r="F31" s="86">
        <f t="shared" si="9"/>
        <v>0</v>
      </c>
      <c r="G31" s="86">
        <f t="shared" si="9"/>
        <v>0</v>
      </c>
      <c r="H31" s="86">
        <f t="shared" si="9"/>
        <v>343690.19999999984</v>
      </c>
      <c r="I31" s="86">
        <f t="shared" si="9"/>
        <v>357872.333992461</v>
      </c>
      <c r="J31" s="86">
        <f aca="true" t="shared" si="10" ref="J31:Q31">SUM(J25+J26-J29-J30)</f>
        <v>372905.39602446987</v>
      </c>
      <c r="K31" s="86">
        <f t="shared" si="10"/>
        <v>388840.44177839917</v>
      </c>
      <c r="L31" s="86">
        <f t="shared" si="10"/>
        <v>405731.5902775643</v>
      </c>
      <c r="M31" s="86">
        <f t="shared" si="10"/>
        <v>423636.2076866793</v>
      </c>
      <c r="N31" s="86">
        <f t="shared" si="10"/>
        <v>442615.1021403413</v>
      </c>
      <c r="O31" s="86">
        <f t="shared" si="10"/>
        <v>462732.7302612229</v>
      </c>
      <c r="P31" s="86">
        <f t="shared" si="10"/>
        <v>484057.4160693574</v>
      </c>
      <c r="Q31" s="86">
        <f t="shared" si="10"/>
        <v>506661.58302598004</v>
      </c>
    </row>
    <row r="32" spans="1:17" ht="12.75">
      <c r="A32" s="56" t="s">
        <v>112</v>
      </c>
      <c r="B32" s="56" t="s">
        <v>113</v>
      </c>
      <c r="C32" s="80"/>
      <c r="D32" s="56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3" spans="1:17" ht="12.75">
      <c r="A33" s="56" t="s">
        <v>114</v>
      </c>
      <c r="B33" s="56" t="s">
        <v>115</v>
      </c>
      <c r="C33" s="80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68"/>
    </row>
    <row r="34" spans="1:17" ht="12.75">
      <c r="A34" s="83" t="s">
        <v>116</v>
      </c>
      <c r="B34" s="83" t="s">
        <v>117</v>
      </c>
      <c r="C34" s="84">
        <f aca="true" t="shared" si="11" ref="C34:I34">SUM(C31+C32-C33)</f>
        <v>0</v>
      </c>
      <c r="D34" s="85">
        <f t="shared" si="11"/>
        <v>0</v>
      </c>
      <c r="E34" s="86">
        <f t="shared" si="11"/>
        <v>0</v>
      </c>
      <c r="F34" s="86">
        <f t="shared" si="11"/>
        <v>0</v>
      </c>
      <c r="G34" s="86">
        <f t="shared" si="11"/>
        <v>0</v>
      </c>
      <c r="H34" s="86">
        <f t="shared" si="11"/>
        <v>343690.19999999984</v>
      </c>
      <c r="I34" s="86">
        <f t="shared" si="11"/>
        <v>357872.333992461</v>
      </c>
      <c r="J34" s="86">
        <f aca="true" t="shared" si="12" ref="J34:Q34">SUM(J31+J32-J33)</f>
        <v>372905.39602446987</v>
      </c>
      <c r="K34" s="86">
        <f t="shared" si="12"/>
        <v>388840.44177839917</v>
      </c>
      <c r="L34" s="86">
        <f t="shared" si="12"/>
        <v>405731.5902775643</v>
      </c>
      <c r="M34" s="86">
        <f t="shared" si="12"/>
        <v>423636.2076866793</v>
      </c>
      <c r="N34" s="86">
        <f t="shared" si="12"/>
        <v>442615.1021403413</v>
      </c>
      <c r="O34" s="86">
        <f t="shared" si="12"/>
        <v>462732.7302612229</v>
      </c>
      <c r="P34" s="86">
        <f t="shared" si="12"/>
        <v>484057.4160693574</v>
      </c>
      <c r="Q34" s="86">
        <f t="shared" si="12"/>
        <v>506661.58302598004</v>
      </c>
    </row>
    <row r="35" spans="1:17" ht="12.75">
      <c r="A35" s="56" t="s">
        <v>118</v>
      </c>
      <c r="B35" s="56" t="s">
        <v>203</v>
      </c>
      <c r="C35" s="88">
        <v>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119">
        <v>0</v>
      </c>
    </row>
    <row r="36" spans="1:17" ht="12.75">
      <c r="A36" s="83" t="s">
        <v>119</v>
      </c>
      <c r="B36" s="83" t="s">
        <v>120</v>
      </c>
      <c r="C36" s="84">
        <f aca="true" t="shared" si="13" ref="C36:I36">SUM(C34-C35)</f>
        <v>0</v>
      </c>
      <c r="D36" s="85">
        <f t="shared" si="13"/>
        <v>0</v>
      </c>
      <c r="E36" s="86">
        <f t="shared" si="13"/>
        <v>0</v>
      </c>
      <c r="F36" s="86">
        <f t="shared" si="13"/>
        <v>0</v>
      </c>
      <c r="G36" s="86">
        <f t="shared" si="13"/>
        <v>0</v>
      </c>
      <c r="H36" s="86">
        <f t="shared" si="13"/>
        <v>343690.19999999984</v>
      </c>
      <c r="I36" s="86">
        <f t="shared" si="13"/>
        <v>357872.333992461</v>
      </c>
      <c r="J36" s="86">
        <f aca="true" t="shared" si="14" ref="J36:Q36">SUM(J34-J35)</f>
        <v>372905.39602446987</v>
      </c>
      <c r="K36" s="86">
        <f t="shared" si="14"/>
        <v>388840.44177839917</v>
      </c>
      <c r="L36" s="86">
        <f t="shared" si="14"/>
        <v>405731.5902775643</v>
      </c>
      <c r="M36" s="86">
        <f t="shared" si="14"/>
        <v>423636.2076866793</v>
      </c>
      <c r="N36" s="86">
        <f t="shared" si="14"/>
        <v>442615.1021403413</v>
      </c>
      <c r="O36" s="86">
        <f t="shared" si="14"/>
        <v>462732.7302612229</v>
      </c>
      <c r="P36" s="86">
        <f t="shared" si="14"/>
        <v>484057.4160693574</v>
      </c>
      <c r="Q36" s="86">
        <f t="shared" si="14"/>
        <v>506661.58302598004</v>
      </c>
    </row>
    <row r="37" spans="3:17" ht="12.75"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</row>
  </sheetData>
  <conditionalFormatting sqref="C6:C36 D6 D17 D9:Q11 D7:G8">
    <cfRule type="expression" priority="1" dxfId="0" stopIfTrue="1">
      <formula>ERROR.TYPE(C6)=2</formula>
    </cfRule>
  </conditionalFormatting>
  <printOptions horizontalCentered="1"/>
  <pageMargins left="0.748031496062992" right="0.748031496062992" top="0.984251968503937" bottom="0.984251968503937" header="0.511811023622047" footer="0.511811023622047"/>
  <pageSetup fitToHeight="1" fitToWidth="1" horizontalDpi="360" verticalDpi="36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zoomScale="75" zoomScaleNormal="75" workbookViewId="0" topLeftCell="A1">
      <selection activeCell="H50" sqref="H50"/>
    </sheetView>
  </sheetViews>
  <sheetFormatPr defaultColWidth="9.00390625" defaultRowHeight="12.75"/>
  <cols>
    <col min="1" max="1" width="38.875" style="1" customWidth="1"/>
    <col min="2" max="2" width="10.625" style="1" hidden="1" customWidth="1"/>
    <col min="3" max="3" width="11.00390625" style="1" bestFit="1" customWidth="1"/>
    <col min="4" max="4" width="9.875" style="1" bestFit="1" customWidth="1"/>
    <col min="5" max="6" width="11.625" style="1" bestFit="1" customWidth="1"/>
    <col min="7" max="7" width="11.00390625" style="1" bestFit="1" customWidth="1"/>
    <col min="8" max="10" width="9.875" style="1" bestFit="1" customWidth="1"/>
    <col min="11" max="15" width="9.25390625" style="1" bestFit="1" customWidth="1"/>
    <col min="16" max="16" width="11.00390625" style="1" bestFit="1" customWidth="1"/>
    <col min="17" max="16384" width="8.375" style="1" customWidth="1"/>
  </cols>
  <sheetData>
    <row r="1" ht="14.25">
      <c r="A1" s="94" t="s">
        <v>206</v>
      </c>
    </row>
    <row r="2" ht="12.75"/>
    <row r="3" ht="12.75">
      <c r="A3" s="75" t="s">
        <v>190</v>
      </c>
    </row>
    <row r="4" ht="12.75"/>
    <row r="5" spans="1:16" ht="12.75">
      <c r="A5" s="101" t="s">
        <v>221</v>
      </c>
      <c r="B5" s="1">
        <v>2001</v>
      </c>
      <c r="C5" s="1">
        <v>2002</v>
      </c>
      <c r="D5" s="1">
        <v>2003</v>
      </c>
      <c r="E5" s="1">
        <v>2004</v>
      </c>
      <c r="F5" s="1">
        <v>2005</v>
      </c>
      <c r="G5" s="1">
        <v>2006</v>
      </c>
      <c r="H5" s="1">
        <v>2007</v>
      </c>
      <c r="I5" s="1">
        <v>2008</v>
      </c>
      <c r="J5" s="1">
        <v>2009</v>
      </c>
      <c r="K5" s="1">
        <v>2010</v>
      </c>
      <c r="L5" s="1">
        <v>2011</v>
      </c>
      <c r="M5" s="1">
        <v>2012</v>
      </c>
      <c r="N5" s="1">
        <v>2013</v>
      </c>
      <c r="O5" s="1">
        <v>2014</v>
      </c>
      <c r="P5" s="1">
        <v>2015</v>
      </c>
    </row>
    <row r="6" spans="1:16" s="28" customFormat="1" ht="12.75">
      <c r="A6" s="102" t="s">
        <v>123</v>
      </c>
      <c r="B6" s="103">
        <f aca="true" t="shared" si="0" ref="B6:H6">SUM(B7:B8)</f>
        <v>0</v>
      </c>
      <c r="C6" s="103">
        <f t="shared" si="0"/>
        <v>0</v>
      </c>
      <c r="D6" s="103">
        <f t="shared" si="0"/>
        <v>0</v>
      </c>
      <c r="E6" s="103">
        <f t="shared" si="0"/>
        <v>0</v>
      </c>
      <c r="F6" s="103">
        <f t="shared" si="0"/>
        <v>0</v>
      </c>
      <c r="G6" s="103">
        <f t="shared" si="0"/>
        <v>715572</v>
      </c>
      <c r="H6" s="103">
        <f t="shared" si="0"/>
        <v>715572</v>
      </c>
      <c r="I6" s="103">
        <f aca="true" t="shared" si="1" ref="I6:P6">SUM(I7:I8)</f>
        <v>715572</v>
      </c>
      <c r="J6" s="103">
        <f t="shared" si="1"/>
        <v>715572</v>
      </c>
      <c r="K6" s="103">
        <f t="shared" si="1"/>
        <v>715572</v>
      </c>
      <c r="L6" s="103">
        <f t="shared" si="1"/>
        <v>715572</v>
      </c>
      <c r="M6" s="103">
        <f t="shared" si="1"/>
        <v>715572</v>
      </c>
      <c r="N6" s="103">
        <f t="shared" si="1"/>
        <v>715572</v>
      </c>
      <c r="O6" s="103">
        <f t="shared" si="1"/>
        <v>715572</v>
      </c>
      <c r="P6" s="103">
        <f t="shared" si="1"/>
        <v>9887005.001256475</v>
      </c>
    </row>
    <row r="7" spans="1:16" s="2" customFormat="1" ht="12.75">
      <c r="A7" s="2" t="s">
        <v>124</v>
      </c>
      <c r="B7" s="104">
        <f>+USPEH!C12+USPEH!C28</f>
        <v>0</v>
      </c>
      <c r="C7" s="104">
        <f>+USPEH!D12+USPEH!D28</f>
        <v>0</v>
      </c>
      <c r="D7" s="104">
        <f>+USPEH!E12+USPEH!E28</f>
        <v>0</v>
      </c>
      <c r="E7" s="104">
        <f>+USPEH!F12+USPEH!F28</f>
        <v>0</v>
      </c>
      <c r="F7" s="104">
        <f>+USPEH!G12+USPEH!G28</f>
        <v>0</v>
      </c>
      <c r="G7" s="104">
        <f>+USPEH!H12+USPEH!H28</f>
        <v>715572</v>
      </c>
      <c r="H7" s="104">
        <f>+USPEH!I12+USPEH!I28</f>
        <v>715572</v>
      </c>
      <c r="I7" s="104">
        <f>+USPEH!J12+USPEH!J28</f>
        <v>715572</v>
      </c>
      <c r="J7" s="104">
        <f>+USPEH!K12+USPEH!K28</f>
        <v>715572</v>
      </c>
      <c r="K7" s="104">
        <f>+USPEH!L12+USPEH!L28</f>
        <v>715572</v>
      </c>
      <c r="L7" s="104">
        <f>+USPEH!M12+USPEH!M28</f>
        <v>715572</v>
      </c>
      <c r="M7" s="104">
        <f>+USPEH!N12+USPEH!N28</f>
        <v>715572</v>
      </c>
      <c r="N7" s="104">
        <f>+USPEH!O12+USPEH!O28</f>
        <v>715572</v>
      </c>
      <c r="O7" s="104">
        <f>+USPEH!P12+USPEH!P28</f>
        <v>715572</v>
      </c>
      <c r="P7" s="104">
        <f>+USPEH!Q12+USPEH!Q28</f>
        <v>715572</v>
      </c>
    </row>
    <row r="8" spans="1:16" s="2" customFormat="1" ht="12.75">
      <c r="A8" s="2" t="s">
        <v>125</v>
      </c>
      <c r="P8" s="2">
        <f>+STANJE!Q6+STANJE!Q13</f>
        <v>9171433.001256475</v>
      </c>
    </row>
    <row r="9" spans="1:16" s="28" customFormat="1" ht="12.75">
      <c r="A9" s="102" t="s">
        <v>126</v>
      </c>
      <c r="B9" s="103">
        <f aca="true" t="shared" si="2" ref="B9:H9">SUM(B10:B13)</f>
        <v>0</v>
      </c>
      <c r="C9" s="103">
        <f t="shared" si="2"/>
        <v>382500</v>
      </c>
      <c r="D9" s="103">
        <f t="shared" si="2"/>
        <v>574220</v>
      </c>
      <c r="E9" s="103">
        <f t="shared" si="2"/>
        <v>2298500</v>
      </c>
      <c r="F9" s="103">
        <f t="shared" si="2"/>
        <v>4843000</v>
      </c>
      <c r="G9" s="103">
        <f t="shared" si="2"/>
        <v>0</v>
      </c>
      <c r="H9" s="103">
        <f t="shared" si="2"/>
        <v>0</v>
      </c>
      <c r="I9" s="103">
        <f aca="true" t="shared" si="3" ref="I9:P9">SUM(I10:I13)</f>
        <v>0</v>
      </c>
      <c r="J9" s="103">
        <f t="shared" si="3"/>
        <v>0</v>
      </c>
      <c r="K9" s="103">
        <f t="shared" si="3"/>
        <v>0</v>
      </c>
      <c r="L9" s="103">
        <f t="shared" si="3"/>
        <v>0</v>
      </c>
      <c r="M9" s="103">
        <f t="shared" si="3"/>
        <v>0</v>
      </c>
      <c r="N9" s="103">
        <f t="shared" si="3"/>
        <v>0</v>
      </c>
      <c r="O9" s="103">
        <f t="shared" si="3"/>
        <v>0</v>
      </c>
      <c r="P9" s="103">
        <f t="shared" si="3"/>
        <v>0</v>
      </c>
    </row>
    <row r="10" spans="1:16" s="2" customFormat="1" ht="12.75">
      <c r="A10" s="2" t="s">
        <v>127</v>
      </c>
      <c r="C10" s="2">
        <f>(+STANJE!D6)</f>
        <v>382500</v>
      </c>
      <c r="D10" s="2">
        <f>+STANJE!E6-STANJE!D6</f>
        <v>574220</v>
      </c>
      <c r="E10" s="2">
        <f>+STANJE!F6-STANJE!E6</f>
        <v>2298500</v>
      </c>
      <c r="F10" s="2">
        <f>+STANJE!G6-STANJE!F6</f>
        <v>4843000</v>
      </c>
      <c r="G10" s="2">
        <f>+STANJE!H6-STANJE!G6</f>
        <v>0</v>
      </c>
      <c r="H10" s="2">
        <f>+STANJE!I6-STANJE!H6</f>
        <v>0</v>
      </c>
      <c r="I10" s="2">
        <f>+STANJE!J6-STANJE!I6</f>
        <v>0</v>
      </c>
      <c r="J10" s="2">
        <f>+STANJE!K6-STANJE!J6</f>
        <v>0</v>
      </c>
      <c r="K10" s="2">
        <f>+STANJE!L6-STANJE!K6</f>
        <v>0</v>
      </c>
      <c r="L10" s="2">
        <f>+STANJE!M6-STANJE!L6</f>
        <v>0</v>
      </c>
      <c r="M10" s="2">
        <f>+STANJE!N6-STANJE!M6</f>
        <v>0</v>
      </c>
      <c r="N10" s="2">
        <f>+STANJE!O6-STANJE!N6</f>
        <v>0</v>
      </c>
      <c r="O10" s="2">
        <f>+STANJE!P6-STANJE!O6</f>
        <v>0</v>
      </c>
      <c r="P10" s="2">
        <f>+STANJE!Q6-STANJE!P6</f>
        <v>0</v>
      </c>
    </row>
    <row r="11" spans="1:16" s="2" customFormat="1" ht="12.75">
      <c r="A11" s="2" t="s">
        <v>128</v>
      </c>
      <c r="C11" s="2">
        <f>+STANJE!D13</f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</row>
    <row r="12" spans="1:16" s="2" customFormat="1" ht="12.75">
      <c r="A12" s="2" t="s">
        <v>129</v>
      </c>
      <c r="B12" s="104">
        <f>SUM(USPEH!C13+USPEH!C17+USPEH!C22+USPEH!C23+USPEH!C24)</f>
        <v>0</v>
      </c>
      <c r="C12" s="104">
        <f>SUM(USPEH!D13+USPEH!D17+USPEH!D22+USPEH!D23+USPEH!D24)</f>
        <v>0</v>
      </c>
      <c r="D12" s="104">
        <f>SUM(USPEH!E13+USPEH!E17+USPEH!E22+USPEH!E23+USPEH!E24)</f>
        <v>0</v>
      </c>
      <c r="E12" s="104">
        <f>SUM(USPEH!F13+USPEH!F17+USPEH!F22+USPEH!F23+USPEH!F24)</f>
        <v>0</v>
      </c>
      <c r="F12" s="104">
        <f>SUM(USPEH!G13+USPEH!G17+USPEH!G22+USPEH!G23+USPEH!G24)</f>
        <v>0</v>
      </c>
      <c r="G12" s="104">
        <f>SUM(USPEH!H13+USPEH!H17+USPEH!H22+USPEH!H23+USPEH!H24)</f>
        <v>0</v>
      </c>
      <c r="H12" s="104">
        <f>SUM(USPEH!I13+USPEH!I17+USPEH!I22+USPEH!I23+USPEH!I24)</f>
        <v>0</v>
      </c>
      <c r="I12" s="104">
        <f>SUM(USPEH!J13+USPEH!J17+USPEH!J22+USPEH!J23+USPEH!J24)</f>
        <v>0</v>
      </c>
      <c r="J12" s="104">
        <f>SUM(USPEH!K13+USPEH!K17+USPEH!K22+USPEH!K23+USPEH!K24)</f>
        <v>0</v>
      </c>
      <c r="K12" s="104">
        <f>SUM(USPEH!L13+USPEH!L17+USPEH!L22+USPEH!L23+USPEH!L24)</f>
        <v>0</v>
      </c>
      <c r="L12" s="104">
        <f>SUM(USPEH!M13+USPEH!M17+USPEH!M22+USPEH!M23+USPEH!M24)</f>
        <v>0</v>
      </c>
      <c r="M12" s="104">
        <f>SUM(USPEH!N13+USPEH!N17+USPEH!N22+USPEH!N23+USPEH!N24)</f>
        <v>0</v>
      </c>
      <c r="N12" s="104">
        <f>SUM(USPEH!O13+USPEH!O17+USPEH!O22+USPEH!O23+USPEH!O24)</f>
        <v>0</v>
      </c>
      <c r="O12" s="104">
        <f>SUM(USPEH!P13+USPEH!P17+USPEH!P22+USPEH!P23+USPEH!P24)</f>
        <v>0</v>
      </c>
      <c r="P12" s="104">
        <f>SUM(USPEH!Q13+USPEH!Q17+USPEH!Q22+USPEH!Q23+USPEH!Q24)</f>
        <v>0</v>
      </c>
    </row>
    <row r="13" spans="1:16" s="2" customFormat="1" ht="12.75">
      <c r="A13" s="2" t="s">
        <v>189</v>
      </c>
      <c r="B13" s="104">
        <f>USPEH!C35</f>
        <v>0</v>
      </c>
      <c r="C13" s="104">
        <f>USPEH!D35</f>
        <v>0</v>
      </c>
      <c r="D13" s="104">
        <f>USPEH!E35</f>
        <v>0</v>
      </c>
      <c r="E13" s="104">
        <f>USPEH!F35</f>
        <v>0</v>
      </c>
      <c r="F13" s="104">
        <f>USPEH!G35</f>
        <v>0</v>
      </c>
      <c r="G13" s="104">
        <f>USPEH!H35</f>
        <v>0</v>
      </c>
      <c r="H13" s="104">
        <f>USPEH!I35</f>
        <v>0</v>
      </c>
      <c r="I13" s="104">
        <f>USPEH!J35</f>
        <v>0</v>
      </c>
      <c r="J13" s="104">
        <f>USPEH!K35</f>
        <v>0</v>
      </c>
      <c r="K13" s="104">
        <f>USPEH!L35</f>
        <v>0</v>
      </c>
      <c r="L13" s="104">
        <f>USPEH!M35</f>
        <v>0</v>
      </c>
      <c r="M13" s="104">
        <f>USPEH!N35</f>
        <v>0</v>
      </c>
      <c r="N13" s="104">
        <f>USPEH!O35</f>
        <v>0</v>
      </c>
      <c r="O13" s="104">
        <f>USPEH!P35</f>
        <v>0</v>
      </c>
      <c r="P13" s="104">
        <f>USPEH!Q35</f>
        <v>0</v>
      </c>
    </row>
    <row r="14" spans="1:16" s="28" customFormat="1" ht="12.75">
      <c r="A14" s="102" t="s">
        <v>130</v>
      </c>
      <c r="B14" s="103">
        <f aca="true" t="shared" si="4" ref="B14:H14">SUM(B6-B9)</f>
        <v>0</v>
      </c>
      <c r="C14" s="103">
        <f t="shared" si="4"/>
        <v>-382500</v>
      </c>
      <c r="D14" s="103">
        <f t="shared" si="4"/>
        <v>-574220</v>
      </c>
      <c r="E14" s="103">
        <f t="shared" si="4"/>
        <v>-2298500</v>
      </c>
      <c r="F14" s="103">
        <f t="shared" si="4"/>
        <v>-4843000</v>
      </c>
      <c r="G14" s="103">
        <f t="shared" si="4"/>
        <v>715572</v>
      </c>
      <c r="H14" s="103">
        <f t="shared" si="4"/>
        <v>715572</v>
      </c>
      <c r="I14" s="103">
        <f aca="true" t="shared" si="5" ref="I14:P14">SUM(I6-I9)</f>
        <v>715572</v>
      </c>
      <c r="J14" s="103">
        <f t="shared" si="5"/>
        <v>715572</v>
      </c>
      <c r="K14" s="103">
        <f t="shared" si="5"/>
        <v>715572</v>
      </c>
      <c r="L14" s="103">
        <f t="shared" si="5"/>
        <v>715572</v>
      </c>
      <c r="M14" s="103">
        <f t="shared" si="5"/>
        <v>715572</v>
      </c>
      <c r="N14" s="103">
        <f t="shared" si="5"/>
        <v>715572</v>
      </c>
      <c r="O14" s="103">
        <f t="shared" si="5"/>
        <v>715572</v>
      </c>
      <c r="P14" s="103">
        <f t="shared" si="5"/>
        <v>9887005.001256475</v>
      </c>
    </row>
    <row r="15" spans="1:3" ht="12.75">
      <c r="A15" s="1" t="s">
        <v>131</v>
      </c>
      <c r="B15" s="105"/>
      <c r="C15" s="93">
        <v>0.05</v>
      </c>
    </row>
    <row r="16" spans="1:3" ht="12.75">
      <c r="A16" s="75" t="s">
        <v>132</v>
      </c>
      <c r="B16" s="75"/>
      <c r="C16" s="106">
        <f>NPV(C15,C14:P14)</f>
        <v>2323005.305549917</v>
      </c>
    </row>
    <row r="17" spans="1:3" ht="12.75">
      <c r="A17" s="75" t="s">
        <v>133</v>
      </c>
      <c r="B17" s="107"/>
      <c r="C17" s="108">
        <f>IRR(C14:P14,0)</f>
        <v>0.08902258356246834</v>
      </c>
    </row>
    <row r="20" ht="12.75">
      <c r="A20" s="75" t="s">
        <v>121</v>
      </c>
    </row>
    <row r="21" spans="1:16" ht="12.75" hidden="1">
      <c r="A21" s="75"/>
      <c r="B21" s="1">
        <f>+B5</f>
        <v>2001</v>
      </c>
      <c r="C21" s="1">
        <f aca="true" t="shared" si="6" ref="C21:H21">+C5</f>
        <v>2002</v>
      </c>
      <c r="D21" s="1">
        <f t="shared" si="6"/>
        <v>2003</v>
      </c>
      <c r="E21" s="1">
        <f t="shared" si="6"/>
        <v>2004</v>
      </c>
      <c r="F21" s="1">
        <f t="shared" si="6"/>
        <v>2005</v>
      </c>
      <c r="G21" s="1">
        <f t="shared" si="6"/>
        <v>2006</v>
      </c>
      <c r="H21" s="1">
        <f t="shared" si="6"/>
        <v>2007</v>
      </c>
      <c r="I21" s="1">
        <f aca="true" t="shared" si="7" ref="I21:P21">+I5</f>
        <v>2008</v>
      </c>
      <c r="J21" s="1">
        <f t="shared" si="7"/>
        <v>2009</v>
      </c>
      <c r="K21" s="1">
        <f t="shared" si="7"/>
        <v>2010</v>
      </c>
      <c r="L21" s="1">
        <f t="shared" si="7"/>
        <v>2011</v>
      </c>
      <c r="M21" s="1">
        <f t="shared" si="7"/>
        <v>2012</v>
      </c>
      <c r="N21" s="1">
        <f t="shared" si="7"/>
        <v>2013</v>
      </c>
      <c r="O21" s="1">
        <f t="shared" si="7"/>
        <v>2014</v>
      </c>
      <c r="P21" s="1">
        <f t="shared" si="7"/>
        <v>2015</v>
      </c>
    </row>
    <row r="22" spans="1:16" ht="12.75" hidden="1">
      <c r="A22" s="90" t="s">
        <v>122</v>
      </c>
      <c r="B22" s="91">
        <f aca="true" t="shared" si="8" ref="B22:H22">SUM(B6)*$C$31</f>
        <v>0</v>
      </c>
      <c r="C22" s="91">
        <f t="shared" si="8"/>
        <v>0</v>
      </c>
      <c r="D22" s="91">
        <f t="shared" si="8"/>
        <v>0</v>
      </c>
      <c r="E22" s="91">
        <f t="shared" si="8"/>
        <v>0</v>
      </c>
      <c r="F22" s="91">
        <f t="shared" si="8"/>
        <v>0</v>
      </c>
      <c r="G22" s="91">
        <f t="shared" si="8"/>
        <v>715572</v>
      </c>
      <c r="H22" s="91">
        <f t="shared" si="8"/>
        <v>715572</v>
      </c>
      <c r="I22" s="91">
        <f aca="true" t="shared" si="9" ref="I22:P22">SUM(I6)*$C$31</f>
        <v>715572</v>
      </c>
      <c r="J22" s="91">
        <f t="shared" si="9"/>
        <v>715572</v>
      </c>
      <c r="K22" s="91">
        <f t="shared" si="9"/>
        <v>715572</v>
      </c>
      <c r="L22" s="91">
        <f t="shared" si="9"/>
        <v>715572</v>
      </c>
      <c r="M22" s="91">
        <f t="shared" si="9"/>
        <v>715572</v>
      </c>
      <c r="N22" s="91">
        <f t="shared" si="9"/>
        <v>715572</v>
      </c>
      <c r="O22" s="91">
        <f t="shared" si="9"/>
        <v>715572</v>
      </c>
      <c r="P22" s="91">
        <f t="shared" si="9"/>
        <v>9887005.001256475</v>
      </c>
    </row>
    <row r="23" spans="1:16" ht="12.75" hidden="1">
      <c r="A23" s="1" t="s">
        <v>134</v>
      </c>
      <c r="B23" s="92">
        <f aca="true" t="shared" si="10" ref="B23:H23">B12*$C$32</f>
        <v>0</v>
      </c>
      <c r="C23" s="92">
        <f t="shared" si="10"/>
        <v>0</v>
      </c>
      <c r="D23" s="92">
        <f t="shared" si="10"/>
        <v>0</v>
      </c>
      <c r="E23" s="92">
        <f t="shared" si="10"/>
        <v>0</v>
      </c>
      <c r="F23" s="92">
        <f t="shared" si="10"/>
        <v>0</v>
      </c>
      <c r="G23" s="92">
        <f t="shared" si="10"/>
        <v>0</v>
      </c>
      <c r="H23" s="92">
        <f t="shared" si="10"/>
        <v>0</v>
      </c>
      <c r="I23" s="92">
        <f aca="true" t="shared" si="11" ref="I23:P23">I12*$C$32</f>
        <v>0</v>
      </c>
      <c r="J23" s="92">
        <f t="shared" si="11"/>
        <v>0</v>
      </c>
      <c r="K23" s="92">
        <f t="shared" si="11"/>
        <v>0</v>
      </c>
      <c r="L23" s="92">
        <f t="shared" si="11"/>
        <v>0</v>
      </c>
      <c r="M23" s="92">
        <f t="shared" si="11"/>
        <v>0</v>
      </c>
      <c r="N23" s="92">
        <f t="shared" si="11"/>
        <v>0</v>
      </c>
      <c r="O23" s="92">
        <f t="shared" si="11"/>
        <v>0</v>
      </c>
      <c r="P23" s="92">
        <f t="shared" si="11"/>
        <v>0</v>
      </c>
    </row>
    <row r="24" spans="1:16" ht="12.75" hidden="1">
      <c r="A24" s="1" t="s">
        <v>135</v>
      </c>
      <c r="B24" s="92">
        <f>SUM(B10:B11)</f>
        <v>0</v>
      </c>
      <c r="C24" s="92">
        <f aca="true" t="shared" si="12" ref="C24:P24">SUM(C10:C11)*$C$33</f>
        <v>382500</v>
      </c>
      <c r="D24" s="92">
        <f t="shared" si="12"/>
        <v>574220</v>
      </c>
      <c r="E24" s="92">
        <f t="shared" si="12"/>
        <v>2298500</v>
      </c>
      <c r="F24" s="92">
        <f t="shared" si="12"/>
        <v>4843000</v>
      </c>
      <c r="G24" s="92">
        <f t="shared" si="12"/>
        <v>0</v>
      </c>
      <c r="H24" s="92">
        <f t="shared" si="12"/>
        <v>0</v>
      </c>
      <c r="I24" s="92">
        <f t="shared" si="12"/>
        <v>0</v>
      </c>
      <c r="J24" s="92">
        <f t="shared" si="12"/>
        <v>0</v>
      </c>
      <c r="K24" s="92">
        <f t="shared" si="12"/>
        <v>0</v>
      </c>
      <c r="L24" s="92">
        <f t="shared" si="12"/>
        <v>0</v>
      </c>
      <c r="M24" s="92">
        <f t="shared" si="12"/>
        <v>0</v>
      </c>
      <c r="N24" s="92">
        <f t="shared" si="12"/>
        <v>0</v>
      </c>
      <c r="O24" s="92">
        <f t="shared" si="12"/>
        <v>0</v>
      </c>
      <c r="P24" s="92">
        <f t="shared" si="12"/>
        <v>0</v>
      </c>
    </row>
    <row r="25" spans="1:16" ht="12.75" hidden="1">
      <c r="A25" s="1" t="s">
        <v>136</v>
      </c>
      <c r="B25" s="92">
        <f>+B13</f>
        <v>0</v>
      </c>
      <c r="C25" s="92">
        <f aca="true" t="shared" si="13" ref="C25:H25">+C13</f>
        <v>0</v>
      </c>
      <c r="D25" s="92">
        <f t="shared" si="13"/>
        <v>0</v>
      </c>
      <c r="E25" s="92">
        <f t="shared" si="13"/>
        <v>0</v>
      </c>
      <c r="F25" s="92">
        <f t="shared" si="13"/>
        <v>0</v>
      </c>
      <c r="G25" s="92">
        <f t="shared" si="13"/>
        <v>0</v>
      </c>
      <c r="H25" s="92">
        <f t="shared" si="13"/>
        <v>0</v>
      </c>
      <c r="I25" s="92">
        <f aca="true" t="shared" si="14" ref="I25:P25">+I13</f>
        <v>0</v>
      </c>
      <c r="J25" s="92">
        <f t="shared" si="14"/>
        <v>0</v>
      </c>
      <c r="K25" s="92">
        <f t="shared" si="14"/>
        <v>0</v>
      </c>
      <c r="L25" s="92">
        <f t="shared" si="14"/>
        <v>0</v>
      </c>
      <c r="M25" s="92">
        <f t="shared" si="14"/>
        <v>0</v>
      </c>
      <c r="N25" s="92">
        <f t="shared" si="14"/>
        <v>0</v>
      </c>
      <c r="O25" s="92">
        <f t="shared" si="14"/>
        <v>0</v>
      </c>
      <c r="P25" s="92">
        <f t="shared" si="14"/>
        <v>0</v>
      </c>
    </row>
    <row r="26" spans="1:16" s="109" customFormat="1" ht="12.75" hidden="1">
      <c r="A26" s="102" t="s">
        <v>137</v>
      </c>
      <c r="B26" s="103">
        <f aca="true" t="shared" si="15" ref="B26:H26">B22-SUM(B23:B25)</f>
        <v>0</v>
      </c>
      <c r="C26" s="103">
        <f t="shared" si="15"/>
        <v>-382500</v>
      </c>
      <c r="D26" s="103">
        <f t="shared" si="15"/>
        <v>-574220</v>
      </c>
      <c r="E26" s="103">
        <f t="shared" si="15"/>
        <v>-2298500</v>
      </c>
      <c r="F26" s="103">
        <f t="shared" si="15"/>
        <v>-4843000</v>
      </c>
      <c r="G26" s="103">
        <f t="shared" si="15"/>
        <v>715572</v>
      </c>
      <c r="H26" s="103">
        <f t="shared" si="15"/>
        <v>715572</v>
      </c>
      <c r="I26" s="103">
        <f aca="true" t="shared" si="16" ref="I26:P26">I22-SUM(I23:I25)</f>
        <v>715572</v>
      </c>
      <c r="J26" s="103">
        <f t="shared" si="16"/>
        <v>715572</v>
      </c>
      <c r="K26" s="103">
        <f t="shared" si="16"/>
        <v>715572</v>
      </c>
      <c r="L26" s="103">
        <f t="shared" si="16"/>
        <v>715572</v>
      </c>
      <c r="M26" s="103">
        <f t="shared" si="16"/>
        <v>715572</v>
      </c>
      <c r="N26" s="103">
        <f t="shared" si="16"/>
        <v>715572</v>
      </c>
      <c r="O26" s="103">
        <f t="shared" si="16"/>
        <v>715572</v>
      </c>
      <c r="P26" s="103">
        <f t="shared" si="16"/>
        <v>9887005.001256475</v>
      </c>
    </row>
    <row r="27" spans="1:3" s="109" customFormat="1" ht="12.75" hidden="1">
      <c r="A27" s="1" t="s">
        <v>131</v>
      </c>
      <c r="C27" s="110">
        <f>+C15</f>
        <v>0.05</v>
      </c>
    </row>
    <row r="28" spans="1:3" s="109" customFormat="1" ht="12.75" hidden="1">
      <c r="A28" s="75" t="s">
        <v>132</v>
      </c>
      <c r="C28" s="106">
        <f>NPV(C27,C26:P26)</f>
        <v>2323005.305549917</v>
      </c>
    </row>
    <row r="29" spans="1:3" s="109" customFormat="1" ht="12.75" hidden="1">
      <c r="A29" s="111" t="s">
        <v>133</v>
      </c>
      <c r="B29" s="112"/>
      <c r="C29" s="113">
        <f>IRR(C26:P26,0)</f>
        <v>0.08902258356246834</v>
      </c>
    </row>
    <row r="30" ht="12.75" hidden="1"/>
    <row r="31" spans="1:3" ht="12.75" hidden="1">
      <c r="A31" s="1" t="s">
        <v>138</v>
      </c>
      <c r="C31" s="114">
        <v>1</v>
      </c>
    </row>
    <row r="32" spans="1:3" ht="12.75" hidden="1">
      <c r="A32" s="1" t="s">
        <v>139</v>
      </c>
      <c r="C32" s="114">
        <v>1</v>
      </c>
    </row>
    <row r="33" spans="1:3" ht="12.75" hidden="1">
      <c r="A33" s="1" t="s">
        <v>233</v>
      </c>
      <c r="C33" s="114">
        <v>1</v>
      </c>
    </row>
    <row r="34" ht="13.5" thickBot="1"/>
    <row r="35" spans="1:9" ht="15">
      <c r="A35" s="130" t="s">
        <v>198</v>
      </c>
      <c r="B35" s="130"/>
      <c r="C35" s="135"/>
      <c r="D35" s="135"/>
      <c r="E35" s="135"/>
      <c r="F35" s="135"/>
      <c r="G35" s="135"/>
      <c r="H35" s="135"/>
      <c r="I35" s="135"/>
    </row>
    <row r="36" spans="1:9" ht="15">
      <c r="A36" s="129"/>
      <c r="B36" s="129"/>
      <c r="C36" s="136" t="s">
        <v>200</v>
      </c>
      <c r="D36" s="136" t="s">
        <v>193</v>
      </c>
      <c r="E36" s="136" t="s">
        <v>194</v>
      </c>
      <c r="F36" s="136" t="s">
        <v>195</v>
      </c>
      <c r="G36" s="136" t="s">
        <v>196</v>
      </c>
      <c r="H36" s="136" t="s">
        <v>197</v>
      </c>
      <c r="I36" s="136" t="s">
        <v>232</v>
      </c>
    </row>
    <row r="37" spans="1:9" ht="12.75">
      <c r="A37" s="137" t="s">
        <v>199</v>
      </c>
      <c r="B37" s="133"/>
      <c r="C37" s="131"/>
      <c r="D37" s="131"/>
      <c r="E37" s="131"/>
      <c r="F37" s="131"/>
      <c r="G37" s="131"/>
      <c r="H37" s="131"/>
      <c r="I37" s="131"/>
    </row>
    <row r="38" spans="1:9" ht="12.75">
      <c r="A38" s="138" t="s">
        <v>228</v>
      </c>
      <c r="B38" s="132"/>
      <c r="C38" s="126">
        <v>1</v>
      </c>
      <c r="D38" s="126">
        <v>0.85</v>
      </c>
      <c r="E38" s="126">
        <v>0.8</v>
      </c>
      <c r="F38" s="126">
        <v>1</v>
      </c>
      <c r="G38" s="126">
        <v>1</v>
      </c>
      <c r="H38" s="126">
        <v>0.9</v>
      </c>
      <c r="I38" s="126">
        <v>0.8</v>
      </c>
    </row>
    <row r="39" spans="1:9" ht="12.75">
      <c r="A39" s="138" t="s">
        <v>229</v>
      </c>
      <c r="B39" s="132"/>
      <c r="C39" s="126">
        <v>1</v>
      </c>
      <c r="D39" s="126">
        <v>1</v>
      </c>
      <c r="E39" s="126">
        <v>1</v>
      </c>
      <c r="F39" s="126">
        <v>1</v>
      </c>
      <c r="G39" s="126">
        <v>1</v>
      </c>
      <c r="H39" s="126">
        <v>1</v>
      </c>
      <c r="I39" s="126">
        <v>1</v>
      </c>
    </row>
    <row r="40" spans="1:9" ht="12.75">
      <c r="A40" s="138" t="s">
        <v>233</v>
      </c>
      <c r="B40" s="132"/>
      <c r="C40" s="126">
        <v>1</v>
      </c>
      <c r="D40" s="126">
        <v>1</v>
      </c>
      <c r="E40" s="126">
        <v>1</v>
      </c>
      <c r="F40" s="126">
        <v>1.15</v>
      </c>
      <c r="G40" s="126">
        <v>1.2</v>
      </c>
      <c r="H40" s="126">
        <v>1.1</v>
      </c>
      <c r="I40" s="126">
        <v>1.2</v>
      </c>
    </row>
    <row r="41" spans="1:9" ht="12.75">
      <c r="A41" s="137" t="s">
        <v>201</v>
      </c>
      <c r="B41" s="133"/>
      <c r="C41" s="131"/>
      <c r="D41" s="131"/>
      <c r="E41" s="131"/>
      <c r="F41" s="131"/>
      <c r="G41" s="131"/>
      <c r="H41" s="131"/>
      <c r="I41" s="131"/>
    </row>
    <row r="42" spans="1:9" ht="12.75">
      <c r="A42" s="139" t="s">
        <v>230</v>
      </c>
      <c r="B42" s="132"/>
      <c r="C42" s="127">
        <v>2323005.30554992</v>
      </c>
      <c r="D42" s="127">
        <v>946304.661660293</v>
      </c>
      <c r="E42" s="127">
        <v>487404.447030418</v>
      </c>
      <c r="F42" s="127">
        <v>1294755.45749278</v>
      </c>
      <c r="G42" s="127">
        <v>952005.5081404</v>
      </c>
      <c r="H42" s="127">
        <v>719704.977585411</v>
      </c>
      <c r="I42" s="127">
        <v>-883595.350379098</v>
      </c>
    </row>
    <row r="43" spans="1:9" ht="13.5" thickBot="1">
      <c r="A43" s="140" t="s">
        <v>231</v>
      </c>
      <c r="B43" s="134"/>
      <c r="C43" s="128">
        <v>0.0890225835624683</v>
      </c>
      <c r="D43" s="128">
        <v>0.0669015159826987</v>
      </c>
      <c r="E43" s="128">
        <v>0.0589044278686025</v>
      </c>
      <c r="F43" s="128">
        <v>0.0699379975188461</v>
      </c>
      <c r="G43" s="128">
        <v>0.0642747362820342</v>
      </c>
      <c r="H43" s="128">
        <v>0.0618534538196774</v>
      </c>
      <c r="I43" s="128">
        <v>0.0356144001546601</v>
      </c>
    </row>
  </sheetData>
  <printOptions horizontalCentered="1"/>
  <pageMargins left="0.748031496062992" right="0.748031496062992" top="0.63" bottom="0.984251968503937" header="0.511811023622047" footer="0.511811023622047"/>
  <pageSetup fitToHeight="1" fitToWidth="1" horizontalDpi="360" verticalDpi="360" orientation="landscape" paperSize="9" scale="7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zoomScale="75" zoomScaleNormal="75" workbookViewId="0" topLeftCell="A1">
      <selection activeCell="G36" sqref="G36"/>
    </sheetView>
  </sheetViews>
  <sheetFormatPr defaultColWidth="9.00390625" defaultRowHeight="12.75"/>
  <cols>
    <col min="1" max="1" width="4.375" style="1" customWidth="1"/>
    <col min="2" max="2" width="40.25390625" style="1" customWidth="1"/>
    <col min="3" max="3" width="12.75390625" style="1" hidden="1" customWidth="1"/>
    <col min="4" max="5" width="9.25390625" style="1" bestFit="1" customWidth="1"/>
    <col min="6" max="7" width="11.00390625" style="1" bestFit="1" customWidth="1"/>
    <col min="8" max="9" width="9.25390625" style="1" bestFit="1" customWidth="1"/>
    <col min="10" max="10" width="9.875" style="1" bestFit="1" customWidth="1"/>
    <col min="11" max="17" width="11.00390625" style="1" bestFit="1" customWidth="1"/>
    <col min="18" max="16384" width="8.375" style="1" customWidth="1"/>
  </cols>
  <sheetData>
    <row r="1" ht="14.25">
      <c r="A1" s="94" t="s">
        <v>206</v>
      </c>
    </row>
    <row r="2" ht="12.75"/>
    <row r="3" ht="12.75">
      <c r="A3" s="75" t="s">
        <v>185</v>
      </c>
    </row>
    <row r="4" ht="12.75"/>
    <row r="5" spans="1:17" s="117" customFormat="1" ht="12.75">
      <c r="A5" s="115"/>
      <c r="B5" s="115" t="s">
        <v>222</v>
      </c>
      <c r="C5" s="116">
        <v>2001</v>
      </c>
      <c r="D5" s="116">
        <v>2002</v>
      </c>
      <c r="E5" s="116">
        <v>2003</v>
      </c>
      <c r="F5" s="116">
        <v>2004</v>
      </c>
      <c r="G5" s="116">
        <v>2005</v>
      </c>
      <c r="H5" s="116">
        <v>2006</v>
      </c>
      <c r="I5" s="116">
        <v>2007</v>
      </c>
      <c r="J5" s="116">
        <v>2008</v>
      </c>
      <c r="K5" s="116">
        <v>2009</v>
      </c>
      <c r="L5" s="116">
        <v>2010</v>
      </c>
      <c r="M5" s="116">
        <v>2011</v>
      </c>
      <c r="N5" s="116">
        <v>2012</v>
      </c>
      <c r="O5" s="116">
        <v>2013</v>
      </c>
      <c r="P5" s="116">
        <v>2014</v>
      </c>
      <c r="Q5" s="116">
        <v>2015</v>
      </c>
    </row>
    <row r="6" spans="1:17" s="117" customFormat="1" ht="12.75">
      <c r="A6" s="118" t="s">
        <v>64</v>
      </c>
      <c r="B6" s="118" t="s">
        <v>144</v>
      </c>
      <c r="C6" s="119" t="str">
        <f>+STANJE!B22</f>
        <v>Denarna sredstva</v>
      </c>
      <c r="D6" s="119">
        <f>+STANJE!C22</f>
        <v>0</v>
      </c>
      <c r="E6" s="119">
        <f>+STANJE!D22</f>
        <v>0</v>
      </c>
      <c r="F6" s="119">
        <f>+STANJE!E22</f>
        <v>0</v>
      </c>
      <c r="G6" s="119">
        <f>+STANJE!F22</f>
        <v>0</v>
      </c>
      <c r="H6" s="119">
        <f>+STANJE!G22</f>
        <v>0</v>
      </c>
      <c r="I6" s="119">
        <f>+STANJE!H22</f>
        <v>107321.30012564745</v>
      </c>
      <c r="J6" s="119">
        <f>+STANJE!I22</f>
        <v>214642.6002512949</v>
      </c>
      <c r="K6" s="119">
        <f>+STANJE!J22</f>
        <v>321963.90037694236</v>
      </c>
      <c r="L6" s="119">
        <f>+STANJE!K22</f>
        <v>429285.2005025898</v>
      </c>
      <c r="M6" s="119">
        <f>+STANJE!L22</f>
        <v>536606.5006282373</v>
      </c>
      <c r="N6" s="119">
        <f>+STANJE!M22</f>
        <v>643927.8007538847</v>
      </c>
      <c r="O6" s="119">
        <f>+STANJE!N22</f>
        <v>751249.1008795322</v>
      </c>
      <c r="P6" s="119">
        <f>+STANJE!O22</f>
        <v>858570.4010051796</v>
      </c>
      <c r="Q6" s="119">
        <f>+STANJE!P22</f>
        <v>965891.7011308271</v>
      </c>
    </row>
    <row r="7" spans="1:17" s="117" customFormat="1" ht="12.75">
      <c r="A7" s="120" t="s">
        <v>66</v>
      </c>
      <c r="B7" s="120" t="s">
        <v>145</v>
      </c>
      <c r="C7" s="121" t="e">
        <f>+C8+C11+C16</f>
        <v>#VALUE!</v>
      </c>
      <c r="D7" s="121">
        <f aca="true" t="shared" si="0" ref="D7:I7">+D8+D11+D16</f>
        <v>382500</v>
      </c>
      <c r="E7" s="121">
        <f t="shared" si="0"/>
        <v>574220</v>
      </c>
      <c r="F7" s="121">
        <f t="shared" si="0"/>
        <v>3255220</v>
      </c>
      <c r="G7" s="121">
        <f t="shared" si="0"/>
        <v>4843000</v>
      </c>
      <c r="H7" s="121">
        <f t="shared" si="0"/>
        <v>715572</v>
      </c>
      <c r="I7" s="121">
        <f t="shared" si="0"/>
        <v>715572</v>
      </c>
      <c r="J7" s="121">
        <f aca="true" t="shared" si="1" ref="J7:O7">+J8+J11+J16</f>
        <v>715572</v>
      </c>
      <c r="K7" s="121">
        <f t="shared" si="1"/>
        <v>715572</v>
      </c>
      <c r="L7" s="121">
        <f t="shared" si="1"/>
        <v>715572</v>
      </c>
      <c r="M7" s="121">
        <f t="shared" si="1"/>
        <v>715572</v>
      </c>
      <c r="N7" s="121">
        <f t="shared" si="1"/>
        <v>715572</v>
      </c>
      <c r="O7" s="121">
        <f t="shared" si="1"/>
        <v>715572</v>
      </c>
      <c r="P7" s="121">
        <f>+P8+P11+P16</f>
        <v>715572</v>
      </c>
      <c r="Q7" s="121">
        <f>+Q8+Q11+Q16</f>
        <v>715572.0000000019</v>
      </c>
    </row>
    <row r="8" spans="1:17" s="117" customFormat="1" ht="12.75">
      <c r="A8" s="120" t="s">
        <v>17</v>
      </c>
      <c r="B8" s="120" t="s">
        <v>146</v>
      </c>
      <c r="C8" s="121" t="e">
        <f>+C9+C10</f>
        <v>#VALUE!</v>
      </c>
      <c r="D8" s="121">
        <f aca="true" t="shared" si="2" ref="D8:I8">+D9+D10</f>
        <v>0</v>
      </c>
      <c r="E8" s="121">
        <f t="shared" si="2"/>
        <v>0</v>
      </c>
      <c r="F8" s="121">
        <f t="shared" si="2"/>
        <v>0</v>
      </c>
      <c r="G8" s="121">
        <f t="shared" si="2"/>
        <v>0</v>
      </c>
      <c r="H8" s="121">
        <f t="shared" si="2"/>
        <v>715572</v>
      </c>
      <c r="I8" s="121">
        <f t="shared" si="2"/>
        <v>715572</v>
      </c>
      <c r="J8" s="121">
        <f aca="true" t="shared" si="3" ref="J8:O8">+J9+J10</f>
        <v>715572</v>
      </c>
      <c r="K8" s="121">
        <f t="shared" si="3"/>
        <v>715572</v>
      </c>
      <c r="L8" s="121">
        <f t="shared" si="3"/>
        <v>715572</v>
      </c>
      <c r="M8" s="121">
        <f t="shared" si="3"/>
        <v>715572</v>
      </c>
      <c r="N8" s="121">
        <f t="shared" si="3"/>
        <v>715572</v>
      </c>
      <c r="O8" s="121">
        <f t="shared" si="3"/>
        <v>715572</v>
      </c>
      <c r="P8" s="121">
        <f>+P9+P10</f>
        <v>715572</v>
      </c>
      <c r="Q8" s="121">
        <f>+Q9+Q10</f>
        <v>715572</v>
      </c>
    </row>
    <row r="9" spans="1:17" s="117" customFormat="1" ht="12.75">
      <c r="A9" s="122" t="s">
        <v>147</v>
      </c>
      <c r="B9" s="122" t="s">
        <v>148</v>
      </c>
      <c r="C9" s="68">
        <f>+USPEH!C6+USPEH!C10+USPEH!C11+USPEH!C26+USPEH!C32</f>
        <v>0</v>
      </c>
      <c r="D9" s="68">
        <f>+USPEH!D6+USPEH!D10+USPEH!D11+USPEH!D26+USPEH!D32</f>
        <v>0</v>
      </c>
      <c r="E9" s="68">
        <f>+USPEH!E6+USPEH!E10+USPEH!E11+USPEH!E26+USPEH!E32</f>
        <v>0</v>
      </c>
      <c r="F9" s="68">
        <f>+USPEH!F6+USPEH!F10+USPEH!F11+USPEH!F26+USPEH!F32</f>
        <v>0</v>
      </c>
      <c r="G9" s="68">
        <f>+USPEH!G6+USPEH!G10+USPEH!G11+USPEH!G26+USPEH!G32</f>
        <v>0</v>
      </c>
      <c r="H9" s="68">
        <f>+USPEH!H6+USPEH!H10+USPEH!H11+USPEH!H26+USPEH!H32</f>
        <v>715572</v>
      </c>
      <c r="I9" s="68">
        <f>+USPEH!I6+USPEH!I10+USPEH!I11+USPEH!I26+USPEH!I32</f>
        <v>715572</v>
      </c>
      <c r="J9" s="68">
        <f>+USPEH!J6+USPEH!J10+USPEH!J11+USPEH!J26+USPEH!J32</f>
        <v>715572</v>
      </c>
      <c r="K9" s="68">
        <f>+USPEH!K6+USPEH!K10+USPEH!K11+USPEH!K26+USPEH!K32</f>
        <v>715572</v>
      </c>
      <c r="L9" s="68">
        <f>+USPEH!L6+USPEH!L10+USPEH!L11+USPEH!L26+USPEH!L32</f>
        <v>715572</v>
      </c>
      <c r="M9" s="68">
        <f>+USPEH!M6+USPEH!M10+USPEH!M11+USPEH!M26+USPEH!M32</f>
        <v>715572</v>
      </c>
      <c r="N9" s="68">
        <f>+USPEH!N6+USPEH!N10+USPEH!N11+USPEH!N26+USPEH!N32</f>
        <v>715572</v>
      </c>
      <c r="O9" s="68">
        <f>+USPEH!O6+USPEH!O10+USPEH!O11+USPEH!O26+USPEH!O32</f>
        <v>715572</v>
      </c>
      <c r="P9" s="68">
        <f>+USPEH!P6+USPEH!P10+USPEH!P11+USPEH!P26+USPEH!P32</f>
        <v>715572</v>
      </c>
      <c r="Q9" s="68">
        <f>+USPEH!Q6+USPEH!Q10+USPEH!Q11+USPEH!Q26+USPEH!Q32</f>
        <v>715572</v>
      </c>
    </row>
    <row r="10" spans="1:17" s="117" customFormat="1" ht="12.75">
      <c r="A10" s="122" t="s">
        <v>149</v>
      </c>
      <c r="B10" s="122" t="s">
        <v>150</v>
      </c>
      <c r="C10" s="68" t="e">
        <f>+STANJE!B20-STANJE!C20+STANJE!B19-STANJE!C19+STANJE!B23-STANJE!C23</f>
        <v>#VALUE!</v>
      </c>
      <c r="D10" s="68">
        <f>+STANJE!C20-STANJE!D20+STANJE!C19-STANJE!D19+STANJE!C23-STANJE!D23</f>
        <v>0</v>
      </c>
      <c r="E10" s="68">
        <f>+STANJE!D20-STANJE!E20+STANJE!D19-STANJE!E19+STANJE!D23-STANJE!E23</f>
        <v>0</v>
      </c>
      <c r="F10" s="68">
        <f>+STANJE!E20-STANJE!F20+STANJE!E19-STANJE!F19+STANJE!E23-STANJE!F23</f>
        <v>0</v>
      </c>
      <c r="G10" s="68">
        <f>+STANJE!F20-STANJE!G20+STANJE!F19-STANJE!G19+STANJE!F23-STANJE!G23</f>
        <v>0</v>
      </c>
      <c r="H10" s="68">
        <f>+STANJE!G20-STANJE!H20+STANJE!G19-STANJE!H19+STANJE!G23-STANJE!H23</f>
        <v>0</v>
      </c>
      <c r="I10" s="68">
        <f>+STANJE!H20-STANJE!I20+STANJE!H19-STANJE!I19+STANJE!H23-STANJE!I23</f>
        <v>0</v>
      </c>
      <c r="J10" s="68">
        <f>+STANJE!I20-STANJE!J20+STANJE!I19-STANJE!J19+STANJE!I23-STANJE!J23</f>
        <v>0</v>
      </c>
      <c r="K10" s="68">
        <f>+STANJE!J20-STANJE!K20+STANJE!J19-STANJE!K19+STANJE!J23-STANJE!K23</f>
        <v>0</v>
      </c>
      <c r="L10" s="68">
        <f>+STANJE!K20-STANJE!L20+STANJE!K19-STANJE!L19+STANJE!K23-STANJE!L23</f>
        <v>0</v>
      </c>
      <c r="M10" s="68">
        <f>+STANJE!L20-STANJE!M20+STANJE!L19-STANJE!M19+STANJE!L23-STANJE!M23</f>
        <v>0</v>
      </c>
      <c r="N10" s="68">
        <f>+STANJE!M20-STANJE!N20+STANJE!M19-STANJE!N19+STANJE!M23-STANJE!N23</f>
        <v>0</v>
      </c>
      <c r="O10" s="68">
        <f>+STANJE!N20-STANJE!O20+STANJE!N19-STANJE!O19+STANJE!N23-STANJE!O23</f>
        <v>0</v>
      </c>
      <c r="P10" s="68">
        <f>+STANJE!O20-STANJE!P20+STANJE!O19-STANJE!P19+STANJE!O23-STANJE!P23</f>
        <v>0</v>
      </c>
      <c r="Q10" s="68">
        <f>+STANJE!P20-STANJE!Q20+STANJE!P19-STANJE!Q19+STANJE!P23-STANJE!Q23</f>
        <v>0</v>
      </c>
    </row>
    <row r="11" spans="1:17" s="117" customFormat="1" ht="12.75">
      <c r="A11" s="120" t="s">
        <v>19</v>
      </c>
      <c r="B11" s="120" t="s">
        <v>151</v>
      </c>
      <c r="C11" s="121" t="e">
        <f>+C12+C13+C14+C15</f>
        <v>#VALUE!</v>
      </c>
      <c r="D11" s="121">
        <f aca="true" t="shared" si="4" ref="D11:I11">+D12+D13+D14+D15</f>
        <v>0</v>
      </c>
      <c r="E11" s="121">
        <f t="shared" si="4"/>
        <v>0</v>
      </c>
      <c r="F11" s="121">
        <f t="shared" si="4"/>
        <v>956720</v>
      </c>
      <c r="G11" s="121">
        <f t="shared" si="4"/>
        <v>0</v>
      </c>
      <c r="H11" s="121">
        <f t="shared" si="4"/>
        <v>0</v>
      </c>
      <c r="I11" s="121">
        <f t="shared" si="4"/>
        <v>0</v>
      </c>
      <c r="J11" s="121">
        <f aca="true" t="shared" si="5" ref="J11:O11">+J12+J13+J14+J15</f>
        <v>0</v>
      </c>
      <c r="K11" s="121">
        <f t="shared" si="5"/>
        <v>0</v>
      </c>
      <c r="L11" s="121">
        <f t="shared" si="5"/>
        <v>0</v>
      </c>
      <c r="M11" s="121">
        <f t="shared" si="5"/>
        <v>0</v>
      </c>
      <c r="N11" s="121">
        <f t="shared" si="5"/>
        <v>0</v>
      </c>
      <c r="O11" s="121">
        <f t="shared" si="5"/>
        <v>0</v>
      </c>
      <c r="P11" s="121">
        <f>+P12+P13+P14+P15</f>
        <v>0</v>
      </c>
      <c r="Q11" s="121">
        <f>+Q12+Q13+Q14+Q15</f>
        <v>0</v>
      </c>
    </row>
    <row r="12" spans="1:17" s="117" customFormat="1" ht="12.75">
      <c r="A12" s="122" t="s">
        <v>147</v>
      </c>
      <c r="B12" s="122" t="s">
        <v>152</v>
      </c>
      <c r="C12" s="68" t="e">
        <f>IF(SUM(+STANJE!B7-STANJE!C7)&lt;0,0,SUM(+STANJE!B7-STANJE!C7))</f>
        <v>#VALUE!</v>
      </c>
      <c r="D12" s="68">
        <f>IF(SUM(+STANJE!C7-STANJE!D7)&lt;0,0,SUM(+STANJE!C7-STANJE!D7))</f>
        <v>0</v>
      </c>
      <c r="E12" s="68">
        <f>IF(SUM(+STANJE!D7-STANJE!E7)&lt;0,0,SUM(+STANJE!D7-STANJE!E7))</f>
        <v>0</v>
      </c>
      <c r="F12" s="68">
        <f>IF(SUM(+STANJE!E7-STANJE!F7)&lt;0,0,SUM(+STANJE!E7-STANJE!F7))</f>
        <v>956720</v>
      </c>
      <c r="G12" s="68">
        <f>IF(SUM(+STANJE!F7-STANJE!G7)&lt;0,0,SUM(+STANJE!F7-STANJE!G7))</f>
        <v>0</v>
      </c>
      <c r="H12" s="68">
        <f>IF(SUM(+STANJE!G7-STANJE!H7)&lt;0,0,SUM(+STANJE!G7-STANJE!H7))</f>
        <v>0</v>
      </c>
      <c r="I12" s="68">
        <f>IF(SUM(+STANJE!H7-STANJE!I7)&lt;0,0,SUM(+STANJE!H7-STANJE!I7))</f>
        <v>0</v>
      </c>
      <c r="J12" s="68">
        <f>IF(SUM(+STANJE!I7-STANJE!J7)&lt;0,0,SUM(+STANJE!I7-STANJE!J7))</f>
        <v>0</v>
      </c>
      <c r="K12" s="68">
        <f>IF(SUM(+STANJE!J7-STANJE!K7)&lt;0,0,SUM(+STANJE!J7-STANJE!K7))</f>
        <v>0</v>
      </c>
      <c r="L12" s="68">
        <f>IF(SUM(+STANJE!K7-STANJE!L7)&lt;0,0,SUM(+STANJE!K7-STANJE!L7))</f>
        <v>0</v>
      </c>
      <c r="M12" s="68">
        <f>IF(SUM(+STANJE!L7-STANJE!M7)&lt;0,0,SUM(+STANJE!L7-STANJE!M7))</f>
        <v>0</v>
      </c>
      <c r="N12" s="68">
        <f>IF(SUM(+STANJE!M7-STANJE!N7)&lt;0,0,SUM(+STANJE!M7-STANJE!N7))</f>
        <v>0</v>
      </c>
      <c r="O12" s="68">
        <f>IF(SUM(+STANJE!N7-STANJE!O7)&lt;0,0,SUM(+STANJE!N7-STANJE!O7))</f>
        <v>0</v>
      </c>
      <c r="P12" s="68">
        <f>IF(SUM(+STANJE!O7-STANJE!P7)&lt;0,0,SUM(+STANJE!O7-STANJE!P7))</f>
        <v>0</v>
      </c>
      <c r="Q12" s="68">
        <f>IF(SUM(+STANJE!P7-STANJE!Q7)&lt;0,0,SUM(+STANJE!P7-STANJE!Q7))</f>
        <v>0</v>
      </c>
    </row>
    <row r="13" spans="1:17" s="117" customFormat="1" ht="12.75">
      <c r="A13" s="122" t="s">
        <v>149</v>
      </c>
      <c r="B13" s="122" t="s">
        <v>153</v>
      </c>
      <c r="C13" s="68" t="e">
        <f>IF(SUM(+STANJE!B8-(STANJE!C8+USPEH!C21))&lt;0,0,SUM(STANJE!B8-(STANJE!C8+USPEH!C21)))</f>
        <v>#VALUE!</v>
      </c>
      <c r="D13" s="68">
        <f>IF(SUM(+STANJE!C8-(STANJE!D8+USPEH!D21))&lt;0,0,SUM(STANJE!C8-(STANJE!D8+USPEH!D21)))</f>
        <v>0</v>
      </c>
      <c r="E13" s="68">
        <f>IF(SUM(+STANJE!D8-(STANJE!E8+USPEH!E21))&lt;0,0,SUM(STANJE!D8-(STANJE!E8+USPEH!E21)))</f>
        <v>0</v>
      </c>
      <c r="F13" s="68">
        <f>IF(SUM(+STANJE!E8-(STANJE!F8+USPEH!F21))&lt;0,0,SUM(STANJE!E8-(STANJE!F8+USPEH!F21)))</f>
        <v>0</v>
      </c>
      <c r="G13" s="68">
        <f>IF(SUM(+STANJE!F8-(STANJE!G8+USPEH!G21))&lt;0,0,SUM(STANJE!F8-(STANJE!G8+USPEH!G21)))</f>
        <v>0</v>
      </c>
      <c r="H13" s="68">
        <f>IF(SUM(+STANJE!G8-(STANJE!H8+USPEH!H21))&lt;0,0,SUM(STANJE!G8-(STANJE!H8+USPEH!H21)))</f>
        <v>0</v>
      </c>
      <c r="I13" s="68">
        <f>IF(SUM(+STANJE!H8-(STANJE!I8+USPEH!I21))&lt;0,0,SUM(STANJE!H8-(STANJE!I8+USPEH!I21)))</f>
        <v>0</v>
      </c>
      <c r="J13" s="68">
        <f>IF(SUM(+STANJE!I8-(STANJE!J8+USPEH!J21))&lt;0,0,SUM(STANJE!I8-(STANJE!J8+USPEH!J21)))</f>
        <v>0</v>
      </c>
      <c r="K13" s="68">
        <f>IF(SUM(+STANJE!J8-(STANJE!K8+USPEH!K21))&lt;0,0,SUM(STANJE!J8-(STANJE!K8+USPEH!K21)))</f>
        <v>0</v>
      </c>
      <c r="L13" s="68">
        <f>IF(SUM(+STANJE!K8-(STANJE!L8+USPEH!L21))&lt;0,0,SUM(STANJE!K8-(STANJE!L8+USPEH!L21)))</f>
        <v>0</v>
      </c>
      <c r="M13" s="68">
        <f>IF(SUM(+STANJE!L8-(STANJE!M8+USPEH!M21))&lt;0,0,SUM(STANJE!L8-(STANJE!M8+USPEH!M21)))</f>
        <v>0</v>
      </c>
      <c r="N13" s="68">
        <f>IF(SUM(+STANJE!M8-(STANJE!N8+USPEH!N21))&lt;0,0,SUM(STANJE!M8-(STANJE!N8+USPEH!N21)))</f>
        <v>0</v>
      </c>
      <c r="O13" s="68">
        <f>IF(SUM(+STANJE!N8-(STANJE!O8+USPEH!O21))&lt;0,0,SUM(STANJE!N8-(STANJE!O8+USPEH!O21)))</f>
        <v>0</v>
      </c>
      <c r="P13" s="68">
        <f>IF(SUM(+STANJE!O8-(STANJE!P8+USPEH!P21))&lt;0,0,SUM(STANJE!O8-(STANJE!P8+USPEH!P21)))</f>
        <v>0</v>
      </c>
      <c r="Q13" s="68">
        <f>IF(SUM(+STANJE!P8-(STANJE!Q8+USPEH!Q21))&lt;0,0,SUM(STANJE!P8-(STANJE!Q8+USPEH!Q21)))</f>
        <v>0</v>
      </c>
    </row>
    <row r="14" spans="1:17" s="117" customFormat="1" ht="12.75">
      <c r="A14" s="122" t="s">
        <v>154</v>
      </c>
      <c r="B14" s="122" t="s">
        <v>155</v>
      </c>
      <c r="C14" s="68" t="e">
        <f>IF(SUM(+STANJE!B11-STANJE!C11)&lt;0,0,SUM(STANJE!B11-STANJE!C11))</f>
        <v>#VALUE!</v>
      </c>
      <c r="D14" s="68">
        <f>IF(SUM(+STANJE!C11-STANJE!D11)&lt;0,0,SUM(STANJE!C11-STANJE!D11))</f>
        <v>0</v>
      </c>
      <c r="E14" s="68">
        <f>IF(SUM(+STANJE!D11-STANJE!E11)&lt;0,0,SUM(STANJE!D11-STANJE!E11))</f>
        <v>0</v>
      </c>
      <c r="F14" s="68">
        <f>IF(SUM(+STANJE!E11-STANJE!F11)&lt;0,0,SUM(STANJE!E11-STANJE!F11))</f>
        <v>0</v>
      </c>
      <c r="G14" s="68">
        <f>IF(SUM(+STANJE!F11-STANJE!G11)&lt;0,0,SUM(STANJE!F11-STANJE!G11))</f>
        <v>0</v>
      </c>
      <c r="H14" s="68">
        <f>IF(SUM(+STANJE!G11-STANJE!H11)&lt;0,0,SUM(STANJE!G11-STANJE!H11))</f>
        <v>0</v>
      </c>
      <c r="I14" s="68">
        <f>IF(SUM(+STANJE!H11-STANJE!I11)&lt;0,0,SUM(STANJE!H11-STANJE!I11))</f>
        <v>0</v>
      </c>
      <c r="J14" s="68">
        <f>IF(SUM(+STANJE!I11-STANJE!J11)&lt;0,0,SUM(STANJE!I11-STANJE!J11))</f>
        <v>0</v>
      </c>
      <c r="K14" s="68">
        <f>IF(SUM(+STANJE!J11-STANJE!K11)&lt;0,0,SUM(STANJE!J11-STANJE!K11))</f>
        <v>0</v>
      </c>
      <c r="L14" s="68">
        <f>IF(SUM(+STANJE!K11-STANJE!L11)&lt;0,0,SUM(STANJE!K11-STANJE!L11))</f>
        <v>0</v>
      </c>
      <c r="M14" s="68">
        <f>IF(SUM(+STANJE!L11-STANJE!M11)&lt;0,0,SUM(STANJE!L11-STANJE!M11))</f>
        <v>0</v>
      </c>
      <c r="N14" s="68">
        <f>IF(SUM(+STANJE!M11-STANJE!N11)&lt;0,0,SUM(STANJE!M11-STANJE!N11))</f>
        <v>0</v>
      </c>
      <c r="O14" s="68">
        <f>IF(SUM(+STANJE!N11-STANJE!O11)&lt;0,0,SUM(STANJE!N11-STANJE!O11))</f>
        <v>0</v>
      </c>
      <c r="P14" s="68">
        <f>IF(SUM(+STANJE!O11-STANJE!P11)&lt;0,0,SUM(STANJE!O11-STANJE!P11))</f>
        <v>0</v>
      </c>
      <c r="Q14" s="68">
        <f>IF(SUM(+STANJE!P11-STANJE!Q11)&lt;0,0,SUM(STANJE!P11-STANJE!Q11))</f>
        <v>0</v>
      </c>
    </row>
    <row r="15" spans="1:17" s="117" customFormat="1" ht="12.75">
      <c r="A15" s="122" t="s">
        <v>156</v>
      </c>
      <c r="B15" s="122" t="s">
        <v>157</v>
      </c>
      <c r="C15" s="68" t="e">
        <f>IF(SUM(+STANJE!B21-(STANJE!C21))&lt;0,0,SUM(STANJE!B21-(STANJE!C21)))</f>
        <v>#VALUE!</v>
      </c>
      <c r="D15" s="68">
        <f>IF(SUM(+STANJE!C21-(STANJE!D21))&lt;0,0,SUM(STANJE!C21-(STANJE!D21)))</f>
        <v>0</v>
      </c>
      <c r="E15" s="68">
        <f>IF(SUM(+STANJE!D21-(STANJE!E21))&lt;0,0,SUM(STANJE!D21-(STANJE!E21)))</f>
        <v>0</v>
      </c>
      <c r="F15" s="68">
        <f>IF(SUM(+STANJE!E21-(STANJE!F21))&lt;0,0,SUM(STANJE!E21-(STANJE!F21)))</f>
        <v>0</v>
      </c>
      <c r="G15" s="68">
        <f>IF(SUM(+STANJE!F21-(STANJE!G21))&lt;0,0,SUM(STANJE!F21-(STANJE!G21)))</f>
        <v>0</v>
      </c>
      <c r="H15" s="68">
        <f>IF(SUM(+STANJE!G21-(STANJE!H21))&lt;0,0,SUM(STANJE!G21-(STANJE!H21)))</f>
        <v>0</v>
      </c>
      <c r="I15" s="68">
        <f>IF(SUM(+STANJE!H21-(STANJE!I21))&lt;0,0,SUM(STANJE!H21-(STANJE!I21)))</f>
        <v>0</v>
      </c>
      <c r="J15" s="68">
        <f>IF(SUM(+STANJE!I21-(STANJE!J21))&lt;0,0,SUM(STANJE!I21-(STANJE!J21)))</f>
        <v>0</v>
      </c>
      <c r="K15" s="68">
        <f>IF(SUM(+STANJE!J21-(STANJE!K21))&lt;0,0,SUM(STANJE!J21-(STANJE!K21)))</f>
        <v>0</v>
      </c>
      <c r="L15" s="68">
        <f>IF(SUM(+STANJE!K21-(STANJE!L21))&lt;0,0,SUM(STANJE!K21-(STANJE!L21)))</f>
        <v>0</v>
      </c>
      <c r="M15" s="68">
        <f>IF(SUM(+STANJE!L21-(STANJE!M21))&lt;0,0,SUM(STANJE!L21-(STANJE!M21)))</f>
        <v>0</v>
      </c>
      <c r="N15" s="68">
        <f>IF(SUM(+STANJE!M21-(STANJE!N21))&lt;0,0,SUM(STANJE!M21-(STANJE!N21)))</f>
        <v>0</v>
      </c>
      <c r="O15" s="68">
        <f>IF(SUM(+STANJE!N21-(STANJE!O21))&lt;0,0,SUM(STANJE!N21-(STANJE!O21)))</f>
        <v>0</v>
      </c>
      <c r="P15" s="68">
        <f>IF(SUM(+STANJE!O21-(STANJE!P21))&lt;0,0,SUM(STANJE!O21-(STANJE!P21)))</f>
        <v>0</v>
      </c>
      <c r="Q15" s="68">
        <f>IF(SUM(+STANJE!P21-(STANJE!Q21))&lt;0,0,SUM(STANJE!P21-(STANJE!Q21)))</f>
        <v>0</v>
      </c>
    </row>
    <row r="16" spans="1:17" s="117" customFormat="1" ht="12.75">
      <c r="A16" s="120" t="s">
        <v>31</v>
      </c>
      <c r="B16" s="120" t="s">
        <v>158</v>
      </c>
      <c r="C16" s="121" t="e">
        <f>+C17+C18+C19+C20+C21</f>
        <v>#VALUE!</v>
      </c>
      <c r="D16" s="121">
        <f aca="true" t="shared" si="6" ref="D16:I16">+D17+D18+D19+D20+D21</f>
        <v>382500</v>
      </c>
      <c r="E16" s="121">
        <f t="shared" si="6"/>
        <v>574220</v>
      </c>
      <c r="F16" s="121">
        <f t="shared" si="6"/>
        <v>2298500</v>
      </c>
      <c r="G16" s="121">
        <f t="shared" si="6"/>
        <v>4843000</v>
      </c>
      <c r="H16" s="121">
        <f t="shared" si="6"/>
        <v>0</v>
      </c>
      <c r="I16" s="121">
        <f t="shared" si="6"/>
        <v>0</v>
      </c>
      <c r="J16" s="121">
        <f aca="true" t="shared" si="7" ref="J16:O16">+J17+J18+J19+J20+J21</f>
        <v>0</v>
      </c>
      <c r="K16" s="121">
        <f t="shared" si="7"/>
        <v>0</v>
      </c>
      <c r="L16" s="121">
        <f t="shared" si="7"/>
        <v>0</v>
      </c>
      <c r="M16" s="121">
        <f t="shared" si="7"/>
        <v>0</v>
      </c>
      <c r="N16" s="121">
        <f t="shared" si="7"/>
        <v>0</v>
      </c>
      <c r="O16" s="121">
        <f t="shared" si="7"/>
        <v>0</v>
      </c>
      <c r="P16" s="121">
        <f>+P17+P18+P19+P20+P21</f>
        <v>0</v>
      </c>
      <c r="Q16" s="121">
        <f>+Q17+Q18+Q19+Q20+Q21</f>
        <v>1.862645149230957E-09</v>
      </c>
    </row>
    <row r="17" spans="1:17" s="117" customFormat="1" ht="12.75">
      <c r="A17" s="122" t="s">
        <v>147</v>
      </c>
      <c r="B17" s="122" t="s">
        <v>159</v>
      </c>
      <c r="C17" s="68" t="e">
        <f>IF(SUM(+STANJE!C27+STANJE!C28+STANJE!C29+STANJE!C30-STANJE!C31+STANJE!C32-STANJE!B26)&lt;0,0,SUM(STANJE!C27+STANJE!C28+STANJE!C29+STANJE!C30-STANJE!C31+STANJE!C32-STANJE!B26))</f>
        <v>#VALUE!</v>
      </c>
      <c r="D17" s="68">
        <f>IF(SUM(+STANJE!D27+STANJE!D28+STANJE!D29+STANJE!D30-STANJE!D31+STANJE!D32-STANJE!C26)&lt;0,0,SUM(+STANJE!D27+STANJE!D28+STANJE!D29+STANJE!D30-STANJE!D31+STANJE!D32-STANJE!C26))</f>
        <v>382500</v>
      </c>
      <c r="E17" s="68">
        <f>IF(SUM(+STANJE!E27+STANJE!E28+STANJE!E29+STANJE!E30-STANJE!E31+STANJE!E32-STANJE!D26)&lt;0,0,SUM(STANJE!E27+STANJE!E28+STANJE!E29+STANJE!E30-STANJE!E31+STANJE!E32-STANJE!D26))</f>
        <v>574220</v>
      </c>
      <c r="F17" s="68">
        <f>IF(SUM(+STANJE!F27+STANJE!F28+STANJE!F29+STANJE!F30-STANJE!F31+STANJE!F32-STANJE!E26)&lt;0,0,SUM(STANJE!F27+STANJE!F28+STANJE!F29+STANJE!F30-STANJE!F31+STANJE!F32-STANJE!E26))</f>
        <v>1300500</v>
      </c>
      <c r="G17" s="68">
        <f>IF(SUM(+STANJE!G27+STANJE!G28+STANJE!G29+STANJE!G30-STANJE!G31+STANJE!G32-STANJE!F26)&lt;0,0,SUM(STANJE!G27+STANJE!G28+STANJE!G29+STANJE!G30-STANJE!G31+STANJE!G32-STANJE!F26))</f>
        <v>2725470</v>
      </c>
      <c r="H17" s="68">
        <f>IF(SUM(+STANJE!H27+STANJE!H28+STANJE!H29+STANJE!H30-STANJE!H31+STANJE!H32-STANJE!G26)&lt;0,0,SUM(STANJE!H27+STANJE!H28+STANJE!H29+STANJE!H30-STANJE!H31+STANJE!H32-STANJE!G26))</f>
        <v>0</v>
      </c>
      <c r="I17" s="68">
        <f>IF(SUM(+STANJE!I27+STANJE!I28+STANJE!I29+STANJE!I30-STANJE!I31+STANJE!I32-STANJE!H26)&lt;0,0,SUM(STANJE!I27+STANJE!I28+STANJE!I29+STANJE!I30-STANJE!I31+STANJE!I32-STANJE!H26))</f>
        <v>0</v>
      </c>
      <c r="J17" s="68">
        <f>IF(SUM(+STANJE!J27+STANJE!J28+STANJE!J29+STANJE!J30-STANJE!J31+STANJE!J32-STANJE!I26)&lt;0,0,SUM(STANJE!J27+STANJE!J28+STANJE!J29+STANJE!J30-STANJE!J31+STANJE!J32-STANJE!I26))</f>
        <v>0</v>
      </c>
      <c r="K17" s="68">
        <f>IF(SUM(+STANJE!K27+STANJE!K28+STANJE!K29+STANJE!K30-STANJE!K31+STANJE!K32-STANJE!J26)&lt;0,0,SUM(STANJE!K27+STANJE!K28+STANJE!K29+STANJE!K30-STANJE!K31+STANJE!K32-STANJE!J26))</f>
        <v>0</v>
      </c>
      <c r="L17" s="68">
        <f>IF(SUM(+STANJE!L27+STANJE!L28+STANJE!L29+STANJE!L30-STANJE!L31+STANJE!L32-STANJE!K26)&lt;0,0,SUM(STANJE!L27+STANJE!L28+STANJE!L29+STANJE!L30-STANJE!L31+STANJE!L32-STANJE!K26))</f>
        <v>0</v>
      </c>
      <c r="M17" s="68">
        <f>IF(SUM(+STANJE!M27+STANJE!M28+STANJE!M29+STANJE!M30-STANJE!M31+STANJE!M32-STANJE!L26)&lt;0,0,SUM(STANJE!M27+STANJE!M28+STANJE!M29+STANJE!M30-STANJE!M31+STANJE!M32-STANJE!L26))</f>
        <v>0</v>
      </c>
      <c r="N17" s="68">
        <f>IF(SUM(+STANJE!N27+STANJE!N28+STANJE!N29+STANJE!N30-STANJE!N31+STANJE!N32-STANJE!M26)&lt;0,0,SUM(STANJE!N27+STANJE!N28+STANJE!N29+STANJE!N30-STANJE!N31+STANJE!N32-STANJE!M26))</f>
        <v>0</v>
      </c>
      <c r="O17" s="68">
        <f>IF(SUM(+STANJE!O27+STANJE!O28+STANJE!O29+STANJE!O30-STANJE!O31+STANJE!O32-STANJE!N26)&lt;0,0,SUM(STANJE!O27+STANJE!O28+STANJE!O29+STANJE!O30-STANJE!O31+STANJE!O32-STANJE!N26))</f>
        <v>0</v>
      </c>
      <c r="P17" s="68">
        <f>IF(SUM(+STANJE!P27+STANJE!P28+STANJE!P29+STANJE!P30-STANJE!P31+STANJE!P32-STANJE!O26)&lt;0,0,SUM(STANJE!P27+STANJE!P28+STANJE!P29+STANJE!P30-STANJE!P31+STANJE!P32-STANJE!O26))</f>
        <v>0</v>
      </c>
      <c r="Q17" s="68">
        <f>IF(SUM(+STANJE!Q27+STANJE!Q28+STANJE!Q29+STANJE!Q30-STANJE!Q31+STANJE!Q32-STANJE!P26)&lt;0,0,SUM(STANJE!Q27+STANJE!Q28+STANJE!Q29+STANJE!Q30-STANJE!Q31+STANJE!Q32-STANJE!P26))</f>
        <v>1.862645149230957E-09</v>
      </c>
    </row>
    <row r="18" spans="1:17" s="117" customFormat="1" ht="12.75">
      <c r="A18" s="122" t="s">
        <v>149</v>
      </c>
      <c r="B18" s="122" t="s">
        <v>160</v>
      </c>
      <c r="C18" s="68" t="e">
        <f>IF(SUM(+STANJE!C35-STANJE!B35)&lt;0,0,SUM(STANJE!C35-STANJE!B35))</f>
        <v>#VALUE!</v>
      </c>
      <c r="D18" s="68">
        <f>IF(SUM(+STANJE!D35-STANJE!C35)&lt;0,0,SUM(STANJE!D35-STANJE!C35))</f>
        <v>0</v>
      </c>
      <c r="E18" s="68">
        <f>IF(SUM(+STANJE!E35-STANJE!D35)&lt;0,0,SUM(STANJE!E35-STANJE!D35))</f>
        <v>0</v>
      </c>
      <c r="F18" s="68">
        <f>IF(SUM(+STANJE!F35-STANJE!E35)&lt;0,0,SUM(STANJE!F35-STANJE!E35))</f>
        <v>0</v>
      </c>
      <c r="G18" s="68">
        <f>IF(SUM(+STANJE!G35-STANJE!F35)&lt;0,0,SUM(STANJE!G35-STANJE!F35))</f>
        <v>0</v>
      </c>
      <c r="H18" s="68">
        <f>IF(SUM(+STANJE!H35-STANJE!G35)&lt;0,0,SUM(STANJE!H35-STANJE!G35))</f>
        <v>0</v>
      </c>
      <c r="I18" s="68">
        <f>IF(SUM(+STANJE!I35-STANJE!H35)&lt;0,0,SUM(STANJE!I35-STANJE!H35))</f>
        <v>0</v>
      </c>
      <c r="J18" s="68">
        <f>IF(SUM(+STANJE!J35-STANJE!I35)&lt;0,0,SUM(STANJE!J35-STANJE!I35))</f>
        <v>0</v>
      </c>
      <c r="K18" s="68">
        <f>IF(SUM(+STANJE!K35-STANJE!J35)&lt;0,0,SUM(STANJE!K35-STANJE!J35))</f>
        <v>0</v>
      </c>
      <c r="L18" s="68">
        <f>IF(SUM(+STANJE!L35-STANJE!K35)&lt;0,0,SUM(STANJE!L35-STANJE!K35))</f>
        <v>0</v>
      </c>
      <c r="M18" s="68">
        <f>IF(SUM(+STANJE!M35-STANJE!L35)&lt;0,0,SUM(STANJE!M35-STANJE!L35))</f>
        <v>0</v>
      </c>
      <c r="N18" s="68">
        <f>IF(SUM(+STANJE!N35-STANJE!M35)&lt;0,0,SUM(STANJE!N35-STANJE!M35))</f>
        <v>0</v>
      </c>
      <c r="O18" s="68">
        <f>IF(SUM(+STANJE!O35-STANJE!N35)&lt;0,0,SUM(STANJE!O35-STANJE!N35))</f>
        <v>0</v>
      </c>
      <c r="P18" s="68">
        <f>IF(SUM(+STANJE!P35-STANJE!O35)&lt;0,0,SUM(STANJE!P35-STANJE!O35))</f>
        <v>0</v>
      </c>
      <c r="Q18" s="68">
        <f>IF(SUM(+STANJE!Q35-STANJE!P35)&lt;0,0,SUM(STANJE!Q35-STANJE!P35))</f>
        <v>0</v>
      </c>
    </row>
    <row r="19" spans="1:17" s="117" customFormat="1" ht="12.75">
      <c r="A19" s="122" t="s">
        <v>154</v>
      </c>
      <c r="B19" s="122" t="s">
        <v>161</v>
      </c>
      <c r="C19" s="68" t="e">
        <f>IF(SUM(+STANJE!C38-STANJE!B38)&lt;0,0,SUM(STANJE!C38-STANJE!B38))</f>
        <v>#VALUE!</v>
      </c>
      <c r="D19" s="68">
        <f>IF(SUM(+STANJE!D38-STANJE!C38)&lt;0,0,SUM(STANJE!D38-STANJE!C38))</f>
        <v>0</v>
      </c>
      <c r="E19" s="68">
        <f>IF(SUM(+STANJE!E38-STANJE!D38)&lt;0,0,SUM(STANJE!E38-STANJE!D38))</f>
        <v>0</v>
      </c>
      <c r="F19" s="68">
        <f>IF(SUM(+STANJE!F38-STANJE!E38)&lt;0,0,SUM(STANJE!F38-STANJE!E38))</f>
        <v>998000</v>
      </c>
      <c r="G19" s="68">
        <f>IF(SUM(+STANJE!G38-STANJE!F38)&lt;0,0,SUM(STANJE!G38-STANJE!F38))</f>
        <v>2117530</v>
      </c>
      <c r="H19" s="68">
        <f>IF(SUM(+STANJE!H38-STANJE!G38)&lt;0,0,SUM(STANJE!H38-STANJE!G38))</f>
        <v>0</v>
      </c>
      <c r="I19" s="68">
        <f>IF(SUM(+STANJE!I38-STANJE!H38)&lt;0,0,SUM(STANJE!I38-STANJE!H38))</f>
        <v>0</v>
      </c>
      <c r="J19" s="68">
        <f>IF(SUM(+STANJE!J38-STANJE!I38)&lt;0,0,SUM(STANJE!J38-STANJE!I38))</f>
        <v>0</v>
      </c>
      <c r="K19" s="68">
        <f>IF(SUM(+STANJE!K38-STANJE!J38)&lt;0,0,SUM(STANJE!K38-STANJE!J38))</f>
        <v>0</v>
      </c>
      <c r="L19" s="68">
        <f>IF(SUM(+STANJE!L38-STANJE!K38)&lt;0,0,SUM(STANJE!L38-STANJE!K38))</f>
        <v>0</v>
      </c>
      <c r="M19" s="68">
        <f>IF(SUM(+STANJE!M38-STANJE!L38)&lt;0,0,SUM(STANJE!M38-STANJE!L38))</f>
        <v>0</v>
      </c>
      <c r="N19" s="68">
        <f>IF(SUM(+STANJE!N38-STANJE!M38)&lt;0,0,SUM(STANJE!N38-STANJE!M38))</f>
        <v>0</v>
      </c>
      <c r="O19" s="68">
        <f>IF(SUM(+STANJE!O38-STANJE!N38)&lt;0,0,SUM(STANJE!O38-STANJE!N38))</f>
        <v>0</v>
      </c>
      <c r="P19" s="68">
        <f>IF(SUM(+STANJE!P38-STANJE!O38)&lt;0,0,SUM(STANJE!P38-STANJE!O38))</f>
        <v>0</v>
      </c>
      <c r="Q19" s="68">
        <f>IF(SUM(+STANJE!Q38-STANJE!P38)&lt;0,0,SUM(STANJE!Q38-STANJE!P38))</f>
        <v>0</v>
      </c>
    </row>
    <row r="20" spans="1:17" s="117" customFormat="1" ht="12.75">
      <c r="A20" s="122" t="s">
        <v>156</v>
      </c>
      <c r="B20" s="122" t="s">
        <v>162</v>
      </c>
      <c r="C20" s="68" t="e">
        <f>IF(SUM(+STANJE!C41-STANJE!B41)&lt;0,0,SUM(STANJE!C41-STANJE!B41))</f>
        <v>#VALUE!</v>
      </c>
      <c r="D20" s="68">
        <f>IF(SUM(+STANJE!D41-STANJE!C41)&lt;0,0,SUM(STANJE!D41-STANJE!C41))</f>
        <v>0</v>
      </c>
      <c r="E20" s="68">
        <f>IF(SUM(+STANJE!E41-STANJE!D41)&lt;0,0,SUM(STANJE!E41-STANJE!D41))</f>
        <v>0</v>
      </c>
      <c r="F20" s="68">
        <f>IF(SUM(+STANJE!F41-STANJE!E41)&lt;0,0,SUM(STANJE!F41-STANJE!E41))</f>
        <v>0</v>
      </c>
      <c r="G20" s="68">
        <f>IF(SUM(+STANJE!G41-STANJE!F41)&lt;0,0,SUM(STANJE!G41-STANJE!F41))</f>
        <v>0</v>
      </c>
      <c r="H20" s="68">
        <f>IF(SUM(+STANJE!H41-STANJE!G41)&lt;0,0,SUM(STANJE!H41-STANJE!G41))</f>
        <v>0</v>
      </c>
      <c r="I20" s="68">
        <f>IF(SUM(+STANJE!I41-STANJE!H41)&lt;0,0,SUM(STANJE!I41-STANJE!H41))</f>
        <v>0</v>
      </c>
      <c r="J20" s="68">
        <f>IF(SUM(+STANJE!J41-STANJE!I41)&lt;0,0,SUM(STANJE!J41-STANJE!I41))</f>
        <v>0</v>
      </c>
      <c r="K20" s="68">
        <f>IF(SUM(+STANJE!K41-STANJE!J41)&lt;0,0,SUM(STANJE!K41-STANJE!J41))</f>
        <v>0</v>
      </c>
      <c r="L20" s="68">
        <f>IF(SUM(+STANJE!L41-STANJE!K41)&lt;0,0,SUM(STANJE!L41-STANJE!K41))</f>
        <v>0</v>
      </c>
      <c r="M20" s="68">
        <f>IF(SUM(+STANJE!M41-STANJE!L41)&lt;0,0,SUM(STANJE!M41-STANJE!L41))</f>
        <v>0</v>
      </c>
      <c r="N20" s="68">
        <f>IF(SUM(+STANJE!N41-STANJE!M41)&lt;0,0,SUM(STANJE!N41-STANJE!M41))</f>
        <v>0</v>
      </c>
      <c r="O20" s="68">
        <f>IF(SUM(+STANJE!O41-STANJE!N41)&lt;0,0,SUM(STANJE!O41-STANJE!N41))</f>
        <v>0</v>
      </c>
      <c r="P20" s="68">
        <f>IF(SUM(+STANJE!P41-STANJE!O41)&lt;0,0,SUM(STANJE!P41-STANJE!O41))</f>
        <v>0</v>
      </c>
      <c r="Q20" s="68">
        <f>IF(SUM(+STANJE!Q41-STANJE!P41)&lt;0,0,SUM(STANJE!Q41-STANJE!P41))</f>
        <v>0</v>
      </c>
    </row>
    <row r="21" spans="1:17" s="117" customFormat="1" ht="12.75">
      <c r="A21" s="122" t="s">
        <v>163</v>
      </c>
      <c r="B21" s="122" t="s">
        <v>164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s="117" customFormat="1" ht="12.75">
      <c r="A22" s="123" t="s">
        <v>165</v>
      </c>
      <c r="B22" s="123" t="s">
        <v>166</v>
      </c>
      <c r="C22" s="124" t="e">
        <f>+C6+C7</f>
        <v>#VALUE!</v>
      </c>
      <c r="D22" s="124">
        <f aca="true" t="shared" si="8" ref="D22:I22">+D6+D7</f>
        <v>382500</v>
      </c>
      <c r="E22" s="124">
        <f t="shared" si="8"/>
        <v>574220</v>
      </c>
      <c r="F22" s="124">
        <f t="shared" si="8"/>
        <v>3255220</v>
      </c>
      <c r="G22" s="124">
        <f t="shared" si="8"/>
        <v>4843000</v>
      </c>
      <c r="H22" s="124">
        <f t="shared" si="8"/>
        <v>715572</v>
      </c>
      <c r="I22" s="124">
        <f t="shared" si="8"/>
        <v>822893.3001256475</v>
      </c>
      <c r="J22" s="124">
        <f aca="true" t="shared" si="9" ref="J22:O22">+J6+J7</f>
        <v>930214.6002512949</v>
      </c>
      <c r="K22" s="124">
        <f t="shared" si="9"/>
        <v>1037535.9003769424</v>
      </c>
      <c r="L22" s="124">
        <f t="shared" si="9"/>
        <v>1144857.2005025898</v>
      </c>
      <c r="M22" s="124">
        <f t="shared" si="9"/>
        <v>1252178.5006282371</v>
      </c>
      <c r="N22" s="124">
        <f t="shared" si="9"/>
        <v>1359499.8007538847</v>
      </c>
      <c r="O22" s="124">
        <f t="shared" si="9"/>
        <v>1466821.1008795323</v>
      </c>
      <c r="P22" s="124">
        <f>+P6+P7</f>
        <v>1574142.4010051796</v>
      </c>
      <c r="Q22" s="124">
        <f>+Q6+Q7</f>
        <v>1681463.7011308288</v>
      </c>
    </row>
    <row r="23" spans="1:17" s="117" customFormat="1" ht="12.75">
      <c r="A23" s="120" t="s">
        <v>51</v>
      </c>
      <c r="B23" s="120" t="s">
        <v>167</v>
      </c>
      <c r="C23" s="121" t="e">
        <f>+C24+C29+C34</f>
        <v>#VALUE!</v>
      </c>
      <c r="D23" s="121">
        <f aca="true" t="shared" si="10" ref="D23:I23">+D24+D29+D34</f>
        <v>382500</v>
      </c>
      <c r="E23" s="121">
        <f t="shared" si="10"/>
        <v>574220</v>
      </c>
      <c r="F23" s="121">
        <f t="shared" si="10"/>
        <v>3255220</v>
      </c>
      <c r="G23" s="121">
        <f t="shared" si="10"/>
        <v>4843000</v>
      </c>
      <c r="H23" s="121">
        <f t="shared" si="10"/>
        <v>608250.6998743525</v>
      </c>
      <c r="I23" s="121">
        <f t="shared" si="10"/>
        <v>608250.6998743524</v>
      </c>
      <c r="J23" s="121">
        <f aca="true" t="shared" si="11" ref="J23:O23">+J24+J29+J34</f>
        <v>608250.6998743525</v>
      </c>
      <c r="K23" s="121">
        <f t="shared" si="11"/>
        <v>608250.6998743525</v>
      </c>
      <c r="L23" s="121">
        <f t="shared" si="11"/>
        <v>608250.6998743527</v>
      </c>
      <c r="M23" s="121">
        <f t="shared" si="11"/>
        <v>608250.6998743535</v>
      </c>
      <c r="N23" s="121">
        <f t="shared" si="11"/>
        <v>608250.6998743525</v>
      </c>
      <c r="O23" s="121">
        <f t="shared" si="11"/>
        <v>608250.6998743525</v>
      </c>
      <c r="P23" s="121">
        <f>+P24+P29+P34</f>
        <v>608250.6998743525</v>
      </c>
      <c r="Q23" s="121">
        <f>+Q24+Q29+Q34</f>
        <v>608250.6998743525</v>
      </c>
    </row>
    <row r="24" spans="1:17" s="117" customFormat="1" ht="12.75">
      <c r="A24" s="120" t="s">
        <v>17</v>
      </c>
      <c r="B24" s="120" t="s">
        <v>168</v>
      </c>
      <c r="C24" s="121" t="e">
        <f>+C25+C26+C27+C28</f>
        <v>#VALUE!</v>
      </c>
      <c r="D24" s="121">
        <f aca="true" t="shared" si="12" ref="D24:I24">+D25+D26+D27+D28</f>
        <v>0</v>
      </c>
      <c r="E24" s="121">
        <f t="shared" si="12"/>
        <v>0</v>
      </c>
      <c r="F24" s="121">
        <f t="shared" si="12"/>
        <v>0</v>
      </c>
      <c r="G24" s="121">
        <f t="shared" si="12"/>
        <v>0</v>
      </c>
      <c r="H24" s="121">
        <f t="shared" si="12"/>
        <v>186931.80000000016</v>
      </c>
      <c r="I24" s="121">
        <f t="shared" si="12"/>
        <v>172749.66600753902</v>
      </c>
      <c r="J24" s="121">
        <f aca="true" t="shared" si="13" ref="J24:O24">+J25+J26+J27+J28</f>
        <v>157716.60397553016</v>
      </c>
      <c r="K24" s="121">
        <f t="shared" si="13"/>
        <v>141781.55822160083</v>
      </c>
      <c r="L24" s="121">
        <f t="shared" si="13"/>
        <v>124890.40972243568</v>
      </c>
      <c r="M24" s="121">
        <f t="shared" si="13"/>
        <v>106985.79231332066</v>
      </c>
      <c r="N24" s="121">
        <f t="shared" si="13"/>
        <v>88006.89785965871</v>
      </c>
      <c r="O24" s="121">
        <f t="shared" si="13"/>
        <v>67889.26973877705</v>
      </c>
      <c r="P24" s="121">
        <f>+P25+P26+P27+P28</f>
        <v>46564.583930642555</v>
      </c>
      <c r="Q24" s="121">
        <f>+Q25+Q26+Q27+Q28</f>
        <v>23960.41697401997</v>
      </c>
    </row>
    <row r="25" spans="1:17" s="117" customFormat="1" ht="12.75">
      <c r="A25" s="122" t="s">
        <v>147</v>
      </c>
      <c r="B25" s="122" t="s">
        <v>169</v>
      </c>
      <c r="C25" s="68">
        <f>-USPEH!C9+USPEH!C13+USPEH!C17+USPEH!C22+USPEH!C23+USPEH!C24+USPEH!C29+USPEH!C30+USPEH!C33</f>
        <v>0</v>
      </c>
      <c r="D25" s="68">
        <f>-USPEH!D9+USPEH!D13+USPEH!D17+USPEH!D22+USPEH!D23+USPEH!D24+USPEH!D29+USPEH!D30+USPEH!D33</f>
        <v>0</v>
      </c>
      <c r="E25" s="68">
        <f>-USPEH!E9+USPEH!E13+USPEH!E17+USPEH!E22+USPEH!E23+USPEH!E24+USPEH!E29+USPEH!E30+USPEH!E33</f>
        <v>0</v>
      </c>
      <c r="F25" s="68">
        <f>-USPEH!F9+USPEH!F13+USPEH!F17+USPEH!F22+USPEH!F23+USPEH!F24+USPEH!F29+USPEH!F30+USPEH!F33</f>
        <v>0</v>
      </c>
      <c r="G25" s="68">
        <f>-USPEH!G9+USPEH!G13+USPEH!G17+USPEH!G22+USPEH!G23+USPEH!G24+USPEH!G29+USPEH!G30+USPEH!G33</f>
        <v>0</v>
      </c>
      <c r="H25" s="68">
        <f>-USPEH!H9+USPEH!H13+USPEH!H17+USPEH!H22+USPEH!H23+USPEH!H24+USPEH!H29+USPEH!H30+USPEH!H33</f>
        <v>186931.80000000016</v>
      </c>
      <c r="I25" s="68">
        <f>-USPEH!I9+USPEH!I13+USPEH!I17+USPEH!I22+USPEH!I23+USPEH!I24+USPEH!I29+USPEH!I30+USPEH!I33</f>
        <v>172749.66600753902</v>
      </c>
      <c r="J25" s="68">
        <f>-USPEH!J9+USPEH!J13+USPEH!J17+USPEH!J22+USPEH!J23+USPEH!J24+USPEH!J29+USPEH!J30+USPEH!J33</f>
        <v>157716.60397553016</v>
      </c>
      <c r="K25" s="68">
        <f>-USPEH!K9+USPEH!K13+USPEH!K17+USPEH!K22+USPEH!K23+USPEH!K24+USPEH!K29+USPEH!K30+USPEH!K33</f>
        <v>141781.55822160083</v>
      </c>
      <c r="L25" s="68">
        <f>-USPEH!L9+USPEH!L13+USPEH!L17+USPEH!L22+USPEH!L23+USPEH!L24+USPEH!L29+USPEH!L30+USPEH!L33</f>
        <v>124890.40972243568</v>
      </c>
      <c r="M25" s="68">
        <f>-USPEH!M9+USPEH!M13+USPEH!M17+USPEH!M22+USPEH!M23+USPEH!M24+USPEH!M29+USPEH!M30+USPEH!M33</f>
        <v>106985.79231332066</v>
      </c>
      <c r="N25" s="68">
        <f>-USPEH!N9+USPEH!N13+USPEH!N17+USPEH!N22+USPEH!N23+USPEH!N24+USPEH!N29+USPEH!N30+USPEH!N33</f>
        <v>88006.89785965871</v>
      </c>
      <c r="O25" s="68">
        <f>-USPEH!O9+USPEH!O13+USPEH!O17+USPEH!O22+USPEH!O23+USPEH!O24+USPEH!O29+USPEH!O30+USPEH!O33</f>
        <v>67889.26973877705</v>
      </c>
      <c r="P25" s="68">
        <f>-USPEH!P9+USPEH!P13+USPEH!P17+USPEH!P22+USPEH!P23+USPEH!P24+USPEH!P29+USPEH!P30+USPEH!P33</f>
        <v>46564.583930642555</v>
      </c>
      <c r="Q25" s="68">
        <f>-USPEH!Q9+USPEH!Q13+USPEH!Q17+USPEH!Q22+USPEH!Q23+USPEH!Q24+USPEH!Q29+USPEH!Q30+USPEH!Q33</f>
        <v>23960.41697401997</v>
      </c>
    </row>
    <row r="26" spans="1:17" s="117" customFormat="1" ht="12.75">
      <c r="A26" s="122" t="s">
        <v>149</v>
      </c>
      <c r="B26" s="122" t="s">
        <v>170</v>
      </c>
      <c r="C26" s="68">
        <f>+USPEH!C35</f>
        <v>0</v>
      </c>
      <c r="D26" s="68">
        <f>+USPEH!D35</f>
        <v>0</v>
      </c>
      <c r="E26" s="68">
        <f>+USPEH!E35</f>
        <v>0</v>
      </c>
      <c r="F26" s="68">
        <f>+USPEH!F35</f>
        <v>0</v>
      </c>
      <c r="G26" s="68">
        <f>+USPEH!G35</f>
        <v>0</v>
      </c>
      <c r="H26" s="68">
        <f>+USPEH!H35</f>
        <v>0</v>
      </c>
      <c r="I26" s="68">
        <f>+USPEH!I35</f>
        <v>0</v>
      </c>
      <c r="J26" s="68">
        <f>+USPEH!J35</f>
        <v>0</v>
      </c>
      <c r="K26" s="68">
        <f>+USPEH!K35</f>
        <v>0</v>
      </c>
      <c r="L26" s="68">
        <f>+USPEH!L35</f>
        <v>0</v>
      </c>
      <c r="M26" s="68">
        <f>+USPEH!M35</f>
        <v>0</v>
      </c>
      <c r="N26" s="68">
        <f>+USPEH!N35</f>
        <v>0</v>
      </c>
      <c r="O26" s="68">
        <f>+USPEH!O35</f>
        <v>0</v>
      </c>
      <c r="P26" s="68">
        <f>+USPEH!P35</f>
        <v>0</v>
      </c>
      <c r="Q26" s="68">
        <f>+USPEH!Q35</f>
        <v>0</v>
      </c>
    </row>
    <row r="27" spans="1:17" s="117" customFormat="1" ht="12.75">
      <c r="A27" s="122" t="s">
        <v>154</v>
      </c>
      <c r="B27" s="122" t="s">
        <v>171</v>
      </c>
      <c r="C27" s="68" t="e">
        <f>+STANJE!C14-STANJE!B14</f>
        <v>#VALUE!</v>
      </c>
      <c r="D27" s="68">
        <f>+STANJE!D14-STANJE!C14</f>
        <v>0</v>
      </c>
      <c r="E27" s="68">
        <f>+STANJE!E14-STANJE!D14</f>
        <v>0</v>
      </c>
      <c r="F27" s="68">
        <f>+STANJE!F14-STANJE!E14</f>
        <v>0</v>
      </c>
      <c r="G27" s="68">
        <f>+STANJE!G14-STANJE!F14</f>
        <v>0</v>
      </c>
      <c r="H27" s="68">
        <f>+STANJE!H14-STANJE!G14</f>
        <v>0</v>
      </c>
      <c r="I27" s="68">
        <f>+STANJE!I14-STANJE!H14</f>
        <v>0</v>
      </c>
      <c r="J27" s="68">
        <f>+STANJE!J14-STANJE!I14</f>
        <v>0</v>
      </c>
      <c r="K27" s="68">
        <f>+STANJE!K14-STANJE!J14</f>
        <v>0</v>
      </c>
      <c r="L27" s="68">
        <f>+STANJE!L14-STANJE!K14</f>
        <v>0</v>
      </c>
      <c r="M27" s="68">
        <f>+STANJE!M14-STANJE!L14</f>
        <v>0</v>
      </c>
      <c r="N27" s="68">
        <f>+STANJE!N14-STANJE!M14</f>
        <v>0</v>
      </c>
      <c r="O27" s="68">
        <f>+STANJE!O14-STANJE!N14</f>
        <v>0</v>
      </c>
      <c r="P27" s="68">
        <f>+STANJE!P14-STANJE!O14</f>
        <v>0</v>
      </c>
      <c r="Q27" s="68">
        <f>+STANJE!Q14-STANJE!P14</f>
        <v>0</v>
      </c>
    </row>
    <row r="28" spans="1:17" s="117" customFormat="1" ht="12.75">
      <c r="A28" s="122" t="s">
        <v>156</v>
      </c>
      <c r="B28" s="122" t="s">
        <v>172</v>
      </c>
      <c r="C28" s="68" t="e">
        <f>+STANJE!B37-STANJE!C37+STANJE!B40-STANJE!C40+STANJE!B42-STANJE!C42</f>
        <v>#VALUE!</v>
      </c>
      <c r="D28" s="68">
        <f>+STANJE!C37-STANJE!D37+STANJE!C40-STANJE!D40+STANJE!C42-STANJE!D42</f>
        <v>0</v>
      </c>
      <c r="E28" s="68">
        <f>+STANJE!D37-STANJE!E37+STANJE!D40-STANJE!E40+STANJE!D42-STANJE!E42</f>
        <v>0</v>
      </c>
      <c r="F28" s="68">
        <f>+STANJE!E37-STANJE!F37+STANJE!E40-STANJE!F40+STANJE!E42-STANJE!F42</f>
        <v>0</v>
      </c>
      <c r="G28" s="68">
        <f>+STANJE!F37-STANJE!G37+STANJE!F40-STANJE!G40+STANJE!F42-STANJE!G42</f>
        <v>0</v>
      </c>
      <c r="H28" s="68">
        <f>+STANJE!G37-STANJE!H37+STANJE!G40-STANJE!H40+STANJE!G42-STANJE!H42</f>
        <v>0</v>
      </c>
      <c r="I28" s="68">
        <f>+STANJE!H37-STANJE!I37+STANJE!H40-STANJE!I40+STANJE!H42-STANJE!I42</f>
        <v>0</v>
      </c>
      <c r="J28" s="68">
        <f>+STANJE!I37-STANJE!J37+STANJE!I40-STANJE!J40+STANJE!I42-STANJE!J42</f>
        <v>0</v>
      </c>
      <c r="K28" s="68">
        <f>+STANJE!J37-STANJE!K37+STANJE!J40-STANJE!K40+STANJE!J42-STANJE!K42</f>
        <v>0</v>
      </c>
      <c r="L28" s="68">
        <f>+STANJE!K37-STANJE!L37+STANJE!K40-STANJE!L40+STANJE!K42-STANJE!L42</f>
        <v>0</v>
      </c>
      <c r="M28" s="68">
        <f>+STANJE!L37-STANJE!M37+STANJE!L40-STANJE!M40+STANJE!L42-STANJE!M42</f>
        <v>0</v>
      </c>
      <c r="N28" s="68">
        <f>+STANJE!M37-STANJE!N37+STANJE!M40-STANJE!N40+STANJE!M42-STANJE!N42</f>
        <v>0</v>
      </c>
      <c r="O28" s="68">
        <f>+STANJE!N37-STANJE!O37+STANJE!N40-STANJE!O40+STANJE!N42-STANJE!O42</f>
        <v>0</v>
      </c>
      <c r="P28" s="68">
        <f>+STANJE!O37-STANJE!P37+STANJE!O40-STANJE!P40+STANJE!O42-STANJE!P42</f>
        <v>0</v>
      </c>
      <c r="Q28" s="68">
        <f>+STANJE!P37-STANJE!Q37+STANJE!P40-STANJE!Q40+STANJE!P42-STANJE!Q42</f>
        <v>0</v>
      </c>
    </row>
    <row r="29" spans="1:17" s="117" customFormat="1" ht="12.75">
      <c r="A29" s="120" t="s">
        <v>19</v>
      </c>
      <c r="B29" s="120" t="s">
        <v>173</v>
      </c>
      <c r="C29" s="121" t="e">
        <f>+C30+C31+C32+C33</f>
        <v>#VALUE!</v>
      </c>
      <c r="D29" s="121">
        <f aca="true" t="shared" si="14" ref="D29:I29">+D30+D31+D32+D33</f>
        <v>382500</v>
      </c>
      <c r="E29" s="121">
        <f t="shared" si="14"/>
        <v>574220</v>
      </c>
      <c r="F29" s="121">
        <f t="shared" si="14"/>
        <v>3255220</v>
      </c>
      <c r="G29" s="121">
        <f t="shared" si="14"/>
        <v>4843000</v>
      </c>
      <c r="H29" s="121">
        <f t="shared" si="14"/>
        <v>184950</v>
      </c>
      <c r="I29" s="121">
        <f t="shared" si="14"/>
        <v>184950</v>
      </c>
      <c r="J29" s="121">
        <f aca="true" t="shared" si="15" ref="J29:O29">+J30+J31+J32+J33</f>
        <v>184950</v>
      </c>
      <c r="K29" s="121">
        <f t="shared" si="15"/>
        <v>184950</v>
      </c>
      <c r="L29" s="121">
        <f t="shared" si="15"/>
        <v>184950</v>
      </c>
      <c r="M29" s="121">
        <f t="shared" si="15"/>
        <v>184950</v>
      </c>
      <c r="N29" s="121">
        <f t="shared" si="15"/>
        <v>184950</v>
      </c>
      <c r="O29" s="121">
        <f t="shared" si="15"/>
        <v>184950</v>
      </c>
      <c r="P29" s="121">
        <f>+P30+P31+P32+P33</f>
        <v>184950</v>
      </c>
      <c r="Q29" s="121">
        <f>+Q30+Q31+Q32+Q33</f>
        <v>184950</v>
      </c>
    </row>
    <row r="30" spans="1:17" s="117" customFormat="1" ht="12.75">
      <c r="A30" s="122" t="s">
        <v>147</v>
      </c>
      <c r="B30" s="122" t="s">
        <v>174</v>
      </c>
      <c r="C30" s="68" t="e">
        <f>IF(SUM(+STANJE!C7-STANJE!B7)&lt;0,0,SUM(STANJE!C7-STANJE!B7))</f>
        <v>#VALUE!</v>
      </c>
      <c r="D30" s="68">
        <f>IF(SUM(+STANJE!D7-STANJE!C7)&lt;0,0,SUM(STANJE!D7-STANJE!C7))</f>
        <v>382500</v>
      </c>
      <c r="E30" s="68">
        <f>IF(SUM(+STANJE!E7-STANJE!D7)&lt;0,0,SUM(STANJE!E7-STANJE!D7))</f>
        <v>574220</v>
      </c>
      <c r="F30" s="68">
        <f>IF(SUM(+STANJE!F7-STANJE!E7)&lt;0,0,SUM(STANJE!F7-STANJE!E7))</f>
        <v>0</v>
      </c>
      <c r="G30" s="68">
        <f>IF(SUM(+STANJE!G7-STANJE!F7)&lt;0,0,SUM(STANJE!G7-STANJE!F7))</f>
        <v>0</v>
      </c>
      <c r="H30" s="68">
        <f>IF(SUM(+STANJE!H7-STANJE!G7)&lt;0,0,SUM(STANJE!H7-STANJE!G7))</f>
        <v>0</v>
      </c>
      <c r="I30" s="68">
        <f>IF(SUM(+STANJE!I7-STANJE!H7)&lt;0,0,SUM(STANJE!I7-STANJE!H7))</f>
        <v>0</v>
      </c>
      <c r="J30" s="68">
        <f>IF(SUM(+STANJE!J7-STANJE!I7)&lt;0,0,SUM(STANJE!J7-STANJE!I7))</f>
        <v>0</v>
      </c>
      <c r="K30" s="68">
        <f>IF(SUM(+STANJE!K7-STANJE!J7)&lt;0,0,SUM(STANJE!K7-STANJE!J7))</f>
        <v>0</v>
      </c>
      <c r="L30" s="68">
        <f>IF(SUM(+STANJE!L7-STANJE!K7)&lt;0,0,SUM(STANJE!L7-STANJE!K7))</f>
        <v>0</v>
      </c>
      <c r="M30" s="68">
        <f>IF(SUM(+STANJE!M7-STANJE!L7)&lt;0,0,SUM(STANJE!M7-STANJE!L7))</f>
        <v>0</v>
      </c>
      <c r="N30" s="68">
        <f>IF(SUM(+STANJE!N7-STANJE!M7)&lt;0,0,SUM(STANJE!N7-STANJE!M7))</f>
        <v>0</v>
      </c>
      <c r="O30" s="68">
        <f>IF(SUM(+STANJE!O7-STANJE!N7)&lt;0,0,SUM(STANJE!O7-STANJE!N7))</f>
        <v>0</v>
      </c>
      <c r="P30" s="68">
        <f>IF(SUM(+STANJE!P7-STANJE!O7)&lt;0,0,SUM(STANJE!P7-STANJE!O7))</f>
        <v>0</v>
      </c>
      <c r="Q30" s="68">
        <f>IF(SUM(+STANJE!Q7-STANJE!P7)&lt;0,0,SUM(STANJE!Q7-STANJE!P7))</f>
        <v>0</v>
      </c>
    </row>
    <row r="31" spans="1:17" s="117" customFormat="1" ht="12.75">
      <c r="A31" s="122" t="s">
        <v>149</v>
      </c>
      <c r="B31" s="122" t="s">
        <v>175</v>
      </c>
      <c r="C31" s="68" t="e">
        <f>IF(SUM(+STANJE!C8+USPEH!C21-STANJE!B8)&lt;0,0,SUM(STANJE!C8+USPEH!C21-STANJE!B8))</f>
        <v>#VALUE!</v>
      </c>
      <c r="D31" s="68">
        <f>IF(SUM(+STANJE!D8+USPEH!D21-STANJE!C8)&lt;0,0,SUM(STANJE!D8+USPEH!D21-STANJE!C8))</f>
        <v>0</v>
      </c>
      <c r="E31" s="68">
        <f>IF(SUM(+STANJE!E8+USPEH!E21-STANJE!D8)&lt;0,0,SUM(STANJE!E8+USPEH!E21-STANJE!D8))</f>
        <v>0</v>
      </c>
      <c r="F31" s="68">
        <f>IF(SUM(+STANJE!F8+USPEH!F21-STANJE!E8)&lt;0,0,SUM(STANJE!F8+USPEH!F21-STANJE!E8))</f>
        <v>3255220</v>
      </c>
      <c r="G31" s="68">
        <f>IF(SUM(+STANJE!G8+USPEH!G21-STANJE!F8)&lt;0,0,SUM(STANJE!G8+USPEH!G21-STANJE!F8))</f>
        <v>4843000</v>
      </c>
      <c r="H31" s="68">
        <f>IF(SUM(+STANJE!H8+USPEH!H21-STANJE!G8)&lt;0,0,SUM(STANJE!H8+USPEH!H21-STANJE!G8))</f>
        <v>184950</v>
      </c>
      <c r="I31" s="68">
        <f>IF(SUM(+STANJE!I8+USPEH!I21-STANJE!H8)&lt;0,0,SUM(STANJE!I8+USPEH!I21-STANJE!H8))</f>
        <v>184950</v>
      </c>
      <c r="J31" s="68">
        <f>IF(SUM(+STANJE!J8+USPEH!J21-STANJE!I8)&lt;0,0,SUM(STANJE!J8+USPEH!J21-STANJE!I8))</f>
        <v>184950</v>
      </c>
      <c r="K31" s="68">
        <f>IF(SUM(+STANJE!K8+USPEH!K21-STANJE!J8)&lt;0,0,SUM(STANJE!K8+USPEH!K21-STANJE!J8))</f>
        <v>184950</v>
      </c>
      <c r="L31" s="68">
        <f>IF(SUM(+STANJE!L8+USPEH!L21-STANJE!K8)&lt;0,0,SUM(STANJE!L8+USPEH!L21-STANJE!K8))</f>
        <v>184950</v>
      </c>
      <c r="M31" s="68">
        <f>IF(SUM(+STANJE!M8+USPEH!M21-STANJE!L8)&lt;0,0,SUM(STANJE!M8+USPEH!M21-STANJE!L8))</f>
        <v>184950</v>
      </c>
      <c r="N31" s="68">
        <f>IF(SUM(+STANJE!N8+USPEH!N21-STANJE!M8)&lt;0,0,SUM(STANJE!N8+USPEH!N21-STANJE!M8))</f>
        <v>184950</v>
      </c>
      <c r="O31" s="68">
        <f>IF(SUM(+STANJE!O8+USPEH!O21-STANJE!N8)&lt;0,0,SUM(STANJE!O8+USPEH!O21-STANJE!N8))</f>
        <v>184950</v>
      </c>
      <c r="P31" s="68">
        <f>IF(SUM(+STANJE!P8+USPEH!P21-STANJE!O8)&lt;0,0,SUM(STANJE!P8+USPEH!P21-STANJE!O8))</f>
        <v>184950</v>
      </c>
      <c r="Q31" s="68">
        <f>IF(SUM(+STANJE!Q8+USPEH!Q21-STANJE!P8)&lt;0,0,SUM(STANJE!Q8+USPEH!Q21-STANJE!P8))</f>
        <v>184950</v>
      </c>
    </row>
    <row r="32" spans="1:17" s="117" customFormat="1" ht="12.75">
      <c r="A32" s="122" t="s">
        <v>154</v>
      </c>
      <c r="B32" s="122" t="s">
        <v>176</v>
      </c>
      <c r="C32" s="68" t="e">
        <f>IF(SUM(+STANJE!C11-STANJE!B11)&lt;0,0,SUM(STANJE!C11-STANJE!B11))</f>
        <v>#VALUE!</v>
      </c>
      <c r="D32" s="68">
        <f>IF(SUM(+STANJE!D11-STANJE!C11)&lt;0,0,SUM(STANJE!D11-STANJE!C11))</f>
        <v>0</v>
      </c>
      <c r="E32" s="68">
        <f>IF(SUM(+STANJE!E11-STANJE!D11)&lt;0,0,SUM(STANJE!E11-STANJE!D11))</f>
        <v>0</v>
      </c>
      <c r="F32" s="68">
        <f>IF(SUM(+STANJE!F11-STANJE!E11)&lt;0,0,SUM(STANJE!F11-STANJE!E11))</f>
        <v>0</v>
      </c>
      <c r="G32" s="68">
        <f>IF(SUM(+STANJE!G11-STANJE!F11)&lt;0,0,SUM(STANJE!G11-STANJE!F11))</f>
        <v>0</v>
      </c>
      <c r="H32" s="68">
        <f>IF(SUM(+STANJE!H11-STANJE!G11)&lt;0,0,SUM(STANJE!H11-STANJE!G11))</f>
        <v>0</v>
      </c>
      <c r="I32" s="68">
        <f>IF(SUM(+STANJE!I11-STANJE!H11)&lt;0,0,SUM(STANJE!I11-STANJE!H11))</f>
        <v>0</v>
      </c>
      <c r="J32" s="68">
        <f>IF(SUM(+STANJE!J11-STANJE!I11)&lt;0,0,SUM(STANJE!J11-STANJE!I11))</f>
        <v>0</v>
      </c>
      <c r="K32" s="68">
        <f>IF(SUM(+STANJE!K11-STANJE!J11)&lt;0,0,SUM(STANJE!K11-STANJE!J11))</f>
        <v>0</v>
      </c>
      <c r="L32" s="68">
        <f>IF(SUM(+STANJE!L11-STANJE!K11)&lt;0,0,SUM(STANJE!L11-STANJE!K11))</f>
        <v>0</v>
      </c>
      <c r="M32" s="68">
        <f>IF(SUM(+STANJE!M11-STANJE!L11)&lt;0,0,SUM(STANJE!M11-STANJE!L11))</f>
        <v>0</v>
      </c>
      <c r="N32" s="68">
        <f>IF(SUM(+STANJE!N11-STANJE!M11)&lt;0,0,SUM(STANJE!N11-STANJE!M11))</f>
        <v>0</v>
      </c>
      <c r="O32" s="68">
        <f>IF(SUM(+STANJE!O11-STANJE!N11)&lt;0,0,SUM(STANJE!O11-STANJE!N11))</f>
        <v>0</v>
      </c>
      <c r="P32" s="68">
        <f>IF(SUM(+STANJE!P11-STANJE!O11)&lt;0,0,SUM(STANJE!P11-STANJE!O11))</f>
        <v>0</v>
      </c>
      <c r="Q32" s="68">
        <f>IF(SUM(+STANJE!Q11-STANJE!P11)&lt;0,0,SUM(STANJE!Q11-STANJE!P11))</f>
        <v>0</v>
      </c>
    </row>
    <row r="33" spans="1:17" s="117" customFormat="1" ht="12.75">
      <c r="A33" s="122" t="s">
        <v>156</v>
      </c>
      <c r="B33" s="122" t="s">
        <v>177</v>
      </c>
      <c r="C33" s="68" t="e">
        <f>IF(SUM(+STANJE!C21-STANJE!B21)&lt;0,0,SUM(STANJE!C21-STANJE!B21))</f>
        <v>#VALUE!</v>
      </c>
      <c r="D33" s="68">
        <f>IF(SUM(+STANJE!D21-STANJE!C21)&lt;0,0,SUM(STANJE!D21-STANJE!C21))</f>
        <v>0</v>
      </c>
      <c r="E33" s="68">
        <f>IF(SUM(+STANJE!E21-STANJE!D21)&lt;0,0,SUM(STANJE!E21-STANJE!D21))</f>
        <v>0</v>
      </c>
      <c r="F33" s="68">
        <f>IF(SUM(+STANJE!F21-STANJE!E21)&lt;0,0,SUM(STANJE!F21-STANJE!E21))</f>
        <v>0</v>
      </c>
      <c r="G33" s="68">
        <f>IF(SUM(+STANJE!G21-STANJE!F21)&lt;0,0,SUM(STANJE!G21-STANJE!F21))</f>
        <v>0</v>
      </c>
      <c r="H33" s="68">
        <f>IF(SUM(+STANJE!H21-STANJE!G21)&lt;0,0,SUM(STANJE!H21-STANJE!G21))</f>
        <v>0</v>
      </c>
      <c r="I33" s="68">
        <f>IF(SUM(+STANJE!I21-STANJE!H21)&lt;0,0,SUM(STANJE!I21-STANJE!H21))</f>
        <v>0</v>
      </c>
      <c r="J33" s="68">
        <f>IF(SUM(+STANJE!J21-STANJE!I21)&lt;0,0,SUM(STANJE!J21-STANJE!I21))</f>
        <v>0</v>
      </c>
      <c r="K33" s="68">
        <f>IF(SUM(+STANJE!K21-STANJE!J21)&lt;0,0,SUM(STANJE!K21-STANJE!J21))</f>
        <v>0</v>
      </c>
      <c r="L33" s="68">
        <f>IF(SUM(+STANJE!L21-STANJE!K21)&lt;0,0,SUM(STANJE!L21-STANJE!K21))</f>
        <v>0</v>
      </c>
      <c r="M33" s="68">
        <f>IF(SUM(+STANJE!M21-STANJE!L21)&lt;0,0,SUM(STANJE!M21-STANJE!L21))</f>
        <v>0</v>
      </c>
      <c r="N33" s="68">
        <f>IF(SUM(+STANJE!N21-STANJE!M21)&lt;0,0,SUM(STANJE!N21-STANJE!M21))</f>
        <v>0</v>
      </c>
      <c r="O33" s="68">
        <f>IF(SUM(+STANJE!O21-STANJE!N21)&lt;0,0,SUM(STANJE!O21-STANJE!N21))</f>
        <v>0</v>
      </c>
      <c r="P33" s="68">
        <f>IF(SUM(+STANJE!P21-STANJE!O21)&lt;0,0,SUM(STANJE!P21-STANJE!O21))</f>
        <v>0</v>
      </c>
      <c r="Q33" s="68">
        <f>IF(SUM(+STANJE!Q21-STANJE!P21)&lt;0,0,SUM(STANJE!Q21-STANJE!P21))</f>
        <v>0</v>
      </c>
    </row>
    <row r="34" spans="1:17" s="117" customFormat="1" ht="12.75">
      <c r="A34" s="120" t="s">
        <v>31</v>
      </c>
      <c r="B34" s="120" t="s">
        <v>178</v>
      </c>
      <c r="C34" s="121" t="e">
        <f>+C35+C36+C37+C38+C39</f>
        <v>#VALUE!</v>
      </c>
      <c r="D34" s="121">
        <f aca="true" t="shared" si="16" ref="D34:I34">+D35+D36+D37+D38+D39</f>
        <v>0</v>
      </c>
      <c r="E34" s="121">
        <f t="shared" si="16"/>
        <v>0</v>
      </c>
      <c r="F34" s="121">
        <f t="shared" si="16"/>
        <v>0</v>
      </c>
      <c r="G34" s="121">
        <f t="shared" si="16"/>
        <v>0</v>
      </c>
      <c r="H34" s="121">
        <f t="shared" si="16"/>
        <v>236368.89987435238</v>
      </c>
      <c r="I34" s="121">
        <f t="shared" si="16"/>
        <v>250551.0338668134</v>
      </c>
      <c r="J34" s="121">
        <f aca="true" t="shared" si="17" ref="J34:O34">+J35+J36+J37+J38+J39</f>
        <v>265584.0958988224</v>
      </c>
      <c r="K34" s="121">
        <f t="shared" si="17"/>
        <v>281519.1416527517</v>
      </c>
      <c r="L34" s="121">
        <f t="shared" si="17"/>
        <v>298410.2901519169</v>
      </c>
      <c r="M34" s="121">
        <f t="shared" si="17"/>
        <v>316314.9075610328</v>
      </c>
      <c r="N34" s="121">
        <f t="shared" si="17"/>
        <v>335293.80201469385</v>
      </c>
      <c r="O34" s="121">
        <f t="shared" si="17"/>
        <v>355411.4301355755</v>
      </c>
      <c r="P34" s="121">
        <f>+P35+P36+P37+P38+P39</f>
        <v>376736.11594370997</v>
      </c>
      <c r="Q34" s="121">
        <f>+Q35+Q36+Q37+Q38+Q39</f>
        <v>399340.2829003326</v>
      </c>
    </row>
    <row r="35" spans="1:17" s="117" customFormat="1" ht="12.75">
      <c r="A35" s="122" t="s">
        <v>147</v>
      </c>
      <c r="B35" s="122" t="s">
        <v>179</v>
      </c>
      <c r="C35" s="68" t="e">
        <f>IF(SUM(STANJE!B26-(STANJE!C27+STANJE!C28+STANJE!C29+STANJE!C30-STANJE!C31+STANJE!C32))&lt;0,0,SUM(STANJE!B26-(STANJE!C27+STANJE!C28+STANJE!C29+STANJE!C30-STANJE!C31+STANJE!C32)))</f>
        <v>#VALUE!</v>
      </c>
      <c r="D35" s="68">
        <f>IF(SUM(STANJE!C26-(+STANJE!D27+STANJE!D28+STANJE!D29+STANJE!D30-STANJE!D31+STANJE!D32))&lt;0,0,SUM(STANJE!C26-(+STANJE!D27+STANJE!D28+STANJE!D29+STANJE!D30-STANJE!D31+STANJE!D32)))</f>
        <v>0</v>
      </c>
      <c r="E35" s="68">
        <f>IF(SUM(STANJE!D26-(+STANJE!E27+STANJE!E28+STANJE!E29+STANJE!E30-STANJE!E31+STANJE!E32))&lt;0,0,SUM(STANJE!D26-(+STANJE!E27+STANJE!E28+STANJE!E29+STANJE!E30-STANJE!E31+STANJE!E32)))</f>
        <v>0</v>
      </c>
      <c r="F35" s="68">
        <f>IF(SUM(STANJE!E26-(+STANJE!F27+STANJE!F28+STANJE!F29+STANJE!F30-STANJE!F31+STANJE!F32))&lt;0,0,SUM(STANJE!E26-(+STANJE!F27+STANJE!F28+STANJE!F29+STANJE!F30-STANJE!F31+STANJE!F32)))</f>
        <v>0</v>
      </c>
      <c r="G35" s="68">
        <f>IF(SUM(STANJE!F26-(+STANJE!G27+STANJE!G28+STANJE!G29+STANJE!G30-STANJE!G31+STANJE!G32))&lt;0,0,SUM(STANJE!F26-(+STANJE!G27+STANJE!G28+STANJE!G29+STANJE!G30-STANJE!G31+STANJE!G32)))</f>
        <v>0</v>
      </c>
      <c r="H35" s="68">
        <f>IF(SUM(STANJE!G26-(+STANJE!H27+STANJE!H28+STANJE!H29+STANJE!H30-STANJE!H31+STANJE!H32))&lt;0,0,SUM(STANJE!G26-(+STANJE!H27+STANJE!H28+STANJE!H29+STANJE!H30-STANJE!H31+STANJE!H32)))</f>
        <v>0</v>
      </c>
      <c r="I35" s="68">
        <f>IF(SUM(STANJE!H26-(+STANJE!I27+STANJE!I28+STANJE!I29+STANJE!I30-STANJE!I31+STANJE!I32))&lt;0,0,SUM(STANJE!H26-(+STANJE!I27+STANJE!I28+STANJE!I29+STANJE!I30-STANJE!I31+STANJE!I32)))</f>
        <v>0</v>
      </c>
      <c r="J35" s="68">
        <f>IF(SUM(STANJE!I26-(+STANJE!J27+STANJE!J28+STANJE!J29+STANJE!J30-STANJE!J31+STANJE!J32))&lt;0,0,SUM(STANJE!I26-(+STANJE!J27+STANJE!J28+STANJE!J29+STANJE!J30-STANJE!J31+STANJE!J32)))</f>
        <v>0</v>
      </c>
      <c r="K35" s="68">
        <f>IF(SUM(STANJE!J26-(+STANJE!K27+STANJE!K28+STANJE!K29+STANJE!K30-STANJE!K31+STANJE!K32))&lt;0,0,SUM(STANJE!J26-(+STANJE!K27+STANJE!K28+STANJE!K29+STANJE!K30-STANJE!K31+STANJE!K32)))</f>
        <v>0</v>
      </c>
      <c r="L35" s="68">
        <f>IF(SUM(STANJE!K26-(+STANJE!L27+STANJE!L28+STANJE!L29+STANJE!L30-STANJE!L31+STANJE!L32))&lt;0,0,SUM(STANJE!K26-(+STANJE!L27+STANJE!L28+STANJE!L29+STANJE!L30-STANJE!L31+STANJE!L32)))</f>
        <v>0</v>
      </c>
      <c r="M35" s="68">
        <f>IF(SUM(STANJE!L26-(+STANJE!M27+STANJE!M28+STANJE!M29+STANJE!M30-STANJE!M31+STANJE!M32))&lt;0,0,SUM(STANJE!L26-(+STANJE!M27+STANJE!M28+STANJE!M29+STANJE!M30-STANJE!M31+STANJE!M32)))</f>
        <v>9.313225746154785E-10</v>
      </c>
      <c r="N35" s="68">
        <f>IF(SUM(STANJE!M26-(+STANJE!N27+STANJE!N28+STANJE!N29+STANJE!N30-STANJE!N31+STANJE!N32))&lt;0,0,SUM(STANJE!M26-(+STANJE!N27+STANJE!N28+STANJE!N29+STANJE!N30-STANJE!N31+STANJE!N32)))</f>
        <v>0</v>
      </c>
      <c r="O35" s="68">
        <f>IF(SUM(STANJE!N26-(+STANJE!O27+STANJE!O28+STANJE!O29+STANJE!O30-STANJE!O31+STANJE!O32))&lt;0,0,SUM(STANJE!N26-(+STANJE!O27+STANJE!O28+STANJE!O29+STANJE!O30-STANJE!O31+STANJE!O32)))</f>
        <v>0</v>
      </c>
      <c r="P35" s="68">
        <f>IF(SUM(STANJE!O26-(+STANJE!P27+STANJE!P28+STANJE!P29+STANJE!P30-STANJE!P31+STANJE!P32))&lt;0,0,SUM(STANJE!O26-(+STANJE!P27+STANJE!P28+STANJE!P29+STANJE!P30-STANJE!P31+STANJE!P32)))</f>
        <v>0</v>
      </c>
      <c r="Q35" s="68">
        <f>IF(SUM(STANJE!P26-(+STANJE!Q27+STANJE!Q28+STANJE!Q29+STANJE!Q30-STANJE!Q31+STANJE!Q32))&lt;0,0,SUM(STANJE!P26-(+STANJE!Q27+STANJE!Q28+STANJE!Q29+STANJE!Q30-STANJE!Q31+STANJE!Q32)))</f>
        <v>0</v>
      </c>
    </row>
    <row r="36" spans="1:17" s="117" customFormat="1" ht="12.75">
      <c r="A36" s="122" t="s">
        <v>149</v>
      </c>
      <c r="B36" s="122" t="s">
        <v>180</v>
      </c>
      <c r="C36" s="68" t="e">
        <f>IF(SUM(+STANJE!B35-STANJE!C35)&lt;0,0,SUM(STANJE!B35-STANJE!C35))</f>
        <v>#VALUE!</v>
      </c>
      <c r="D36" s="68">
        <f>IF(SUM(+STANJE!C35-STANJE!D36)&lt;0,0,SUM(STANJE!C35-STANJE!D36))</f>
        <v>0</v>
      </c>
      <c r="E36" s="68">
        <f>IF(SUM(+STANJE!D35-STANJE!E35)&lt;0,0,SUM(STANJE!D35-STANJE!E35))</f>
        <v>0</v>
      </c>
      <c r="F36" s="68">
        <f>IF(SUM(+STANJE!E35-STANJE!F35)&lt;0,0,SUM(STANJE!E35-STANJE!F35))</f>
        <v>0</v>
      </c>
      <c r="G36" s="68">
        <f>IF(SUM(+STANJE!F35-STANJE!G35)&lt;0,0,SUM(STANJE!F35-STANJE!G35))</f>
        <v>0</v>
      </c>
      <c r="H36" s="68">
        <f>IF(SUM(+STANJE!G35-STANJE!H35)&lt;0,0,SUM(STANJE!G35-STANJE!H35))</f>
        <v>0</v>
      </c>
      <c r="I36" s="68">
        <f>IF(SUM(+STANJE!H35-STANJE!I35)&lt;0,0,SUM(STANJE!H35-STANJE!I35))</f>
        <v>0</v>
      </c>
      <c r="J36" s="68">
        <f>IF(SUM(+STANJE!I35-STANJE!J35)&lt;0,0,SUM(STANJE!I35-STANJE!J35))</f>
        <v>0</v>
      </c>
      <c r="K36" s="68">
        <f>IF(SUM(+STANJE!J35-STANJE!K35)&lt;0,0,SUM(STANJE!J35-STANJE!K35))</f>
        <v>0</v>
      </c>
      <c r="L36" s="68">
        <f>IF(SUM(+STANJE!K35-STANJE!L35)&lt;0,0,SUM(STANJE!K35-STANJE!L35))</f>
        <v>0</v>
      </c>
      <c r="M36" s="68">
        <f>IF(SUM(+STANJE!L35-STANJE!M35)&lt;0,0,SUM(STANJE!L35-STANJE!M35))</f>
        <v>0</v>
      </c>
      <c r="N36" s="68">
        <f>IF(SUM(+STANJE!M35-STANJE!N35)&lt;0,0,SUM(STANJE!M35-STANJE!N35))</f>
        <v>0</v>
      </c>
      <c r="O36" s="68">
        <f>IF(SUM(+STANJE!N35-STANJE!O35)&lt;0,0,SUM(STANJE!N35-STANJE!O35))</f>
        <v>0</v>
      </c>
      <c r="P36" s="68">
        <f>IF(SUM(+STANJE!O35-STANJE!P35)&lt;0,0,SUM(STANJE!O35-STANJE!P35))</f>
        <v>0</v>
      </c>
      <c r="Q36" s="68">
        <f>IF(SUM(+STANJE!P35-STANJE!Q35)&lt;0,0,SUM(STANJE!P35-STANJE!Q35))</f>
        <v>0</v>
      </c>
    </row>
    <row r="37" spans="1:17" s="117" customFormat="1" ht="12.75">
      <c r="A37" s="122" t="s">
        <v>154</v>
      </c>
      <c r="B37" s="122" t="s">
        <v>181</v>
      </c>
      <c r="C37" s="68" t="e">
        <f>IF(SUM(+STANJE!B38-STANJE!C38)&lt;0,0,SUM(STANJE!B38-STANJE!C38))</f>
        <v>#VALUE!</v>
      </c>
      <c r="D37" s="68">
        <f>IF(SUM(+STANJE!C38-STANJE!D38)&lt;0,0,SUM(STANJE!C38-STANJE!D38))</f>
        <v>0</v>
      </c>
      <c r="E37" s="68">
        <f>IF(SUM(+STANJE!D38-STANJE!E38)&lt;0,0,SUM(STANJE!D38-STANJE!E38))</f>
        <v>0</v>
      </c>
      <c r="F37" s="68">
        <f>IF(SUM(+STANJE!E38-STANJE!F38)&lt;0,0,SUM(STANJE!E38-STANJE!F38))</f>
        <v>0</v>
      </c>
      <c r="G37" s="68">
        <f>IF(SUM(+STANJE!F38-STANJE!G38)&lt;0,0,SUM(STANJE!F38-STANJE!G38))</f>
        <v>0</v>
      </c>
      <c r="H37" s="68">
        <f>IF(SUM(+STANJE!G38-STANJE!H38)&lt;0,0,SUM(STANJE!G38-STANJE!H38))</f>
        <v>236368.89987435238</v>
      </c>
      <c r="I37" s="68">
        <f>IF(SUM(+STANJE!H38-STANJE!I38)&lt;0,0,SUM(STANJE!H38-STANJE!I38))</f>
        <v>250551.0338668134</v>
      </c>
      <c r="J37" s="68">
        <f>IF(SUM(+STANJE!I38-STANJE!J38)&lt;0,0,SUM(STANJE!I38-STANJE!J38))</f>
        <v>265584.0958988224</v>
      </c>
      <c r="K37" s="68">
        <f>IF(SUM(+STANJE!J38-STANJE!K38)&lt;0,0,SUM(STANJE!J38-STANJE!K38))</f>
        <v>281519.1416527517</v>
      </c>
      <c r="L37" s="68">
        <f>IF(SUM(+STANJE!K38-STANJE!L38)&lt;0,0,SUM(STANJE!K38-STANJE!L38))</f>
        <v>298410.2901519169</v>
      </c>
      <c r="M37" s="68">
        <f>IF(SUM(+STANJE!L38-STANJE!M38)&lt;0,0,SUM(STANJE!L38-STANJE!M38))</f>
        <v>316314.90756103187</v>
      </c>
      <c r="N37" s="68">
        <f>IF(SUM(+STANJE!M38-STANJE!N38)&lt;0,0,SUM(STANJE!M38-STANJE!N38))</f>
        <v>335293.80201469385</v>
      </c>
      <c r="O37" s="68">
        <f>IF(SUM(+STANJE!N38-STANJE!O38)&lt;0,0,SUM(STANJE!N38-STANJE!O38))</f>
        <v>355411.4301355755</v>
      </c>
      <c r="P37" s="68">
        <f>IF(SUM(+STANJE!O38-STANJE!P38)&lt;0,0,SUM(STANJE!O38-STANJE!P38))</f>
        <v>376736.11594370997</v>
      </c>
      <c r="Q37" s="68">
        <f>IF(SUM(+STANJE!P38-STANJE!Q38)&lt;0,0,SUM(STANJE!P38-STANJE!Q38))</f>
        <v>399340.2829003326</v>
      </c>
    </row>
    <row r="38" spans="1:17" s="117" customFormat="1" ht="12.75">
      <c r="A38" s="122" t="s">
        <v>156</v>
      </c>
      <c r="B38" s="122" t="s">
        <v>182</v>
      </c>
      <c r="C38" s="68" t="e">
        <f>IF(SUM(+STANJE!B41-STANJE!C41)&lt;0,0,SUM(STANJE!B41-STANJE!C41))</f>
        <v>#VALUE!</v>
      </c>
      <c r="D38" s="68">
        <f>IF(SUM(+STANJE!C41-STANJE!D41)&lt;0,0,SUM(STANJE!C41-STANJE!D41))</f>
        <v>0</v>
      </c>
      <c r="E38" s="68">
        <f>IF(SUM(+STANJE!D42-STANJE!E41)&lt;0,0,SUM(STANJE!D42-STANJE!E41))</f>
        <v>0</v>
      </c>
      <c r="F38" s="68">
        <f>IF(SUM(+STANJE!E41-STANJE!F41)&lt;0,0,SUM(STANJE!E41-STANJE!F41))</f>
        <v>0</v>
      </c>
      <c r="G38" s="68">
        <f>IF(SUM(+STANJE!F41-STANJE!G41)&lt;0,0,SUM(STANJE!F41-STANJE!G41))</f>
        <v>0</v>
      </c>
      <c r="H38" s="68">
        <f>IF(SUM(+STANJE!G41-STANJE!H41)&lt;0,0,SUM(STANJE!G41-STANJE!H41))</f>
        <v>0</v>
      </c>
      <c r="I38" s="68">
        <f>IF(SUM(+STANJE!H41-STANJE!I41)&lt;0,0,SUM(STANJE!H41-STANJE!I41))</f>
        <v>0</v>
      </c>
      <c r="J38" s="68">
        <f>IF(SUM(+STANJE!I41-STANJE!J41)&lt;0,0,SUM(STANJE!I41-STANJE!J41))</f>
        <v>0</v>
      </c>
      <c r="K38" s="68">
        <f>IF(SUM(+STANJE!J41-STANJE!K41)&lt;0,0,SUM(STANJE!J41-STANJE!K41))</f>
        <v>0</v>
      </c>
      <c r="L38" s="68">
        <f>IF(SUM(+STANJE!K41-STANJE!L41)&lt;0,0,SUM(STANJE!K41-STANJE!L41))</f>
        <v>0</v>
      </c>
      <c r="M38" s="68">
        <f>IF(SUM(+STANJE!L41-STANJE!M41)&lt;0,0,SUM(STANJE!L41-STANJE!M41))</f>
        <v>0</v>
      </c>
      <c r="N38" s="68">
        <f>IF(SUM(+STANJE!M41-STANJE!N41)&lt;0,0,SUM(STANJE!M41-STANJE!N41))</f>
        <v>0</v>
      </c>
      <c r="O38" s="68">
        <f>IF(SUM(+STANJE!N41-STANJE!O41)&lt;0,0,SUM(STANJE!N41-STANJE!O41))</f>
        <v>0</v>
      </c>
      <c r="P38" s="68">
        <f>IF(SUM(+STANJE!O41-STANJE!P41)&lt;0,0,SUM(STANJE!O41-STANJE!P41))</f>
        <v>0</v>
      </c>
      <c r="Q38" s="68">
        <f>IF(SUM(+STANJE!P41-STANJE!Q41)&lt;0,0,SUM(STANJE!P41-STANJE!Q41))</f>
        <v>0</v>
      </c>
    </row>
    <row r="39" spans="1:17" s="117" customFormat="1" ht="12.75">
      <c r="A39" s="122" t="s">
        <v>163</v>
      </c>
      <c r="B39" s="122" t="s">
        <v>183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17" s="117" customFormat="1" ht="12.75">
      <c r="A40" s="123" t="s">
        <v>79</v>
      </c>
      <c r="B40" s="123" t="s">
        <v>184</v>
      </c>
      <c r="C40" s="124" t="e">
        <f>+C22-C23</f>
        <v>#VALUE!</v>
      </c>
      <c r="D40" s="124">
        <f aca="true" t="shared" si="18" ref="D40:I40">+D22-D23</f>
        <v>0</v>
      </c>
      <c r="E40" s="124">
        <f t="shared" si="18"/>
        <v>0</v>
      </c>
      <c r="F40" s="124">
        <f t="shared" si="18"/>
        <v>0</v>
      </c>
      <c r="G40" s="124">
        <f t="shared" si="18"/>
        <v>0</v>
      </c>
      <c r="H40" s="124">
        <f t="shared" si="18"/>
        <v>107321.30012564745</v>
      </c>
      <c r="I40" s="124">
        <f t="shared" si="18"/>
        <v>214642.60025129502</v>
      </c>
      <c r="J40" s="124">
        <f aca="true" t="shared" si="19" ref="J40:O40">+J22-J23</f>
        <v>321963.90037694236</v>
      </c>
      <c r="K40" s="124">
        <f t="shared" si="19"/>
        <v>429285.2005025898</v>
      </c>
      <c r="L40" s="124">
        <f t="shared" si="19"/>
        <v>536606.5006282371</v>
      </c>
      <c r="M40" s="124">
        <f t="shared" si="19"/>
        <v>643927.8007538837</v>
      </c>
      <c r="N40" s="124">
        <f t="shared" si="19"/>
        <v>751249.1008795322</v>
      </c>
      <c r="O40" s="124">
        <f t="shared" si="19"/>
        <v>858570.4010051797</v>
      </c>
      <c r="P40" s="124">
        <f>+P22-P23</f>
        <v>965891.7011308271</v>
      </c>
      <c r="Q40" s="124">
        <f>+Q22-Q23</f>
        <v>1073213.0012564762</v>
      </c>
    </row>
    <row r="42" ht="12.75"/>
    <row r="43" ht="12.75"/>
  </sheetData>
  <printOptions horizontalCentered="1"/>
  <pageMargins left="0.748031496062992" right="0.748031496062992" top="0.984251968503937" bottom="0.984251968503937" header="0.511811023622047" footer="0.511811023622047"/>
  <pageSetup fitToHeight="1" fitToWidth="1" horizontalDpi="360" verticalDpi="360" orientation="landscape" paperSize="9" scale="69" r:id="rId3"/>
  <headerFooter alignWithMargins="0">
    <oddHeader>&amp;C&amp;"Arial CE,Bold"&amp;14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 BIRO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 KRAJTNER </dc:creator>
  <cp:keywords/>
  <dc:description>AMORTIZACIJSKI NAČRT
BILANCE
EKON. TOK
LIKVIDNOSTNI TOK</dc:description>
  <cp:lastModifiedBy>Mestna uprava</cp:lastModifiedBy>
  <cp:lastPrinted>2003-02-06T16:34:07Z</cp:lastPrinted>
  <dcterms:created xsi:type="dcterms:W3CDTF">1996-08-02T09:24:14Z</dcterms:created>
  <dcterms:modified xsi:type="dcterms:W3CDTF">2003-03-18T09:04:56Z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