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16" activeTab="23"/>
  </bookViews>
  <sheets>
    <sheet name="List1" sheetId="1" r:id="rId1"/>
    <sheet name="nasl.stran" sheetId="2" r:id="rId2"/>
    <sheet name="snaga" sheetId="3" r:id="rId3"/>
    <sheet name="certus" sheetId="4" r:id="rId4"/>
    <sheet name="dimnikarstvo" sheetId="5" r:id="rId5"/>
    <sheet name="zum" sheetId="6" r:id="rId6"/>
    <sheet name="vodovod" sheetId="7" r:id="rId7"/>
    <sheet name="kinematografi" sheetId="8" r:id="rId8"/>
    <sheet name="casino" sheetId="9" r:id="rId9"/>
    <sheet name="pik" sheetId="10" r:id="rId10"/>
    <sheet name="veterinarska" sheetId="11" r:id="rId11"/>
    <sheet name="sttc" sheetId="12" r:id="rId12"/>
    <sheet name="cestno" sheetId="13" r:id="rId13"/>
    <sheet name="florina" sheetId="14" r:id="rId14"/>
    <sheet name="pogrebno" sheetId="15" r:id="rId15"/>
    <sheet name="krs" sheetId="16" r:id="rId16"/>
    <sheet name="zim" sheetId="17" r:id="rId17"/>
    <sheet name="staninvest" sheetId="18" r:id="rId18"/>
    <sheet name="tržnica" sheetId="19" r:id="rId19"/>
    <sheet name="tom" sheetId="20" r:id="rId20"/>
    <sheet name="jpgsz" sheetId="21" r:id="rId21"/>
    <sheet name="mb-les" sheetId="22" r:id="rId22"/>
    <sheet name="plinarna" sheetId="23" r:id="rId23"/>
    <sheet name="nigrad" sheetId="24" r:id="rId24"/>
  </sheets>
  <definedNames>
    <definedName name="_xlnm.Print_Area" localSheetId="8">'casino'!$B$2:$G$54</definedName>
    <definedName name="_xlnm.Print_Area" localSheetId="3">'certus'!$B$2:$G$60</definedName>
    <definedName name="_xlnm.Print_Area" localSheetId="12">'cestno'!$B$2:$G$60</definedName>
    <definedName name="_xlnm.Print_Area" localSheetId="4">'dimnikarstvo'!$B$2:$G$54</definedName>
    <definedName name="_xlnm.Print_Area" localSheetId="13">'florina'!$B$2:$G$54</definedName>
    <definedName name="_xlnm.Print_Area" localSheetId="20">'jpgsz'!$B$2:$G$54</definedName>
    <definedName name="_xlnm.Print_Area" localSheetId="7">'kinematografi'!$B$2:$G$54</definedName>
    <definedName name="_xlnm.Print_Area" localSheetId="15">'krs'!$B$2:$G$54</definedName>
    <definedName name="_xlnm.Print_Area" localSheetId="0">'List1'!$A$1:$K$50</definedName>
    <definedName name="_xlnm.Print_Area" localSheetId="21">'mb-les'!$B$2:$G$54</definedName>
    <definedName name="_xlnm.Print_Area" localSheetId="23">'nigrad'!$B$2:$G$57</definedName>
    <definedName name="_xlnm.Print_Area" localSheetId="9">'pik'!$B$2:$G$54</definedName>
    <definedName name="_xlnm.Print_Area" localSheetId="22">'plinarna'!$B$2:$G$57</definedName>
    <definedName name="_xlnm.Print_Area" localSheetId="14">'pogrebno'!$B$2:$G$54</definedName>
    <definedName name="_xlnm.Print_Area" localSheetId="2">'snaga'!$B$2:$G$57</definedName>
    <definedName name="_xlnm.Print_Area" localSheetId="17">'staninvest'!$B$2:$G$54</definedName>
    <definedName name="_xlnm.Print_Area" localSheetId="11">'sttc'!$B$2:$G$57</definedName>
    <definedName name="_xlnm.Print_Area" localSheetId="19">'tom'!$B$2:$G$54</definedName>
    <definedName name="_xlnm.Print_Area" localSheetId="18">'tržnica'!$B$2:$G$57</definedName>
    <definedName name="_xlnm.Print_Area" localSheetId="10">'veterinarska'!$B$2:$G$54</definedName>
    <definedName name="_xlnm.Print_Area" localSheetId="6">'vodovod'!$B$2:$G$57</definedName>
    <definedName name="_xlnm.Print_Area" localSheetId="16">'zim'!$B$2:$G$59</definedName>
    <definedName name="_xlnm.Print_Area" localSheetId="5">'zum'!$B$2:$G$55</definedName>
  </definedNames>
  <calcPr fullCalcOnLoad="1"/>
</workbook>
</file>

<file path=xl/sharedStrings.xml><?xml version="1.0" encoding="utf-8"?>
<sst xmlns="http://schemas.openxmlformats.org/spreadsheetml/2006/main" count="1616" uniqueCount="113">
  <si>
    <t>1.</t>
  </si>
  <si>
    <t>2.</t>
  </si>
  <si>
    <t>3.</t>
  </si>
  <si>
    <t>3.1.</t>
  </si>
  <si>
    <t>3.2.</t>
  </si>
  <si>
    <t>4.</t>
  </si>
  <si>
    <t>5.</t>
  </si>
  <si>
    <t>LETO</t>
  </si>
  <si>
    <t>6.</t>
  </si>
  <si>
    <t>7.</t>
  </si>
  <si>
    <t>Sredstva v 000 sit</t>
  </si>
  <si>
    <t>Kapital v 000 sit</t>
  </si>
  <si>
    <t>Osnovni kapital v 000 sit</t>
  </si>
  <si>
    <t>Preneseni čisti dobiček oz. izguba iz pret.let v 000 sit</t>
  </si>
  <si>
    <t>Skupni prihodki v 000 sit</t>
  </si>
  <si>
    <t>Čisti dobiček/izguba v 000 sit</t>
  </si>
  <si>
    <t>Zgodovina prejetih dividend oz. udeležbe v dobičku v 000 sit</t>
  </si>
  <si>
    <t>Dodana vrednost na zaposlenega v 000 sit</t>
  </si>
  <si>
    <t>FINANČNI PODATKI DRUŽBE</t>
  </si>
  <si>
    <t>8.</t>
  </si>
  <si>
    <t>9.</t>
  </si>
  <si>
    <t>Skupni dolg, kratkoročni in dolgoročni v 000 sit</t>
  </si>
  <si>
    <t>9.1.</t>
  </si>
  <si>
    <t>Dolgoročne obveznosti iz financiranja v 000 sit</t>
  </si>
  <si>
    <t>9.2.</t>
  </si>
  <si>
    <t>Dolgoročne obveznosti iz poslovanja v 000 sit</t>
  </si>
  <si>
    <t>9.2.1.</t>
  </si>
  <si>
    <t>9.3.</t>
  </si>
  <si>
    <t>Kratkoročne obveznosti iz financiranja in iz poslovanja v 000 sit</t>
  </si>
  <si>
    <t>10.</t>
  </si>
  <si>
    <t>Kratkoročni koeficient</t>
  </si>
  <si>
    <t>11.</t>
  </si>
  <si>
    <t>SNAGA JAVNO PODJETJE d.o.o.</t>
  </si>
  <si>
    <t xml:space="preserve">                                                 (Kapital+Kapital prej.leta)/2</t>
  </si>
  <si>
    <r>
      <t xml:space="preserve">OPOMBA : Donosnost kapitala je:      </t>
    </r>
    <r>
      <rPr>
        <u val="single"/>
        <sz val="10"/>
        <rFont val="Arial"/>
        <family val="2"/>
      </rPr>
      <t>Čisti poslovni izid tekočega leta</t>
    </r>
  </si>
  <si>
    <t>*   100</t>
  </si>
  <si>
    <t>Kosmati donos v 000 sit</t>
  </si>
  <si>
    <t>Stroški blaga materiala in storitev v 000 sit</t>
  </si>
  <si>
    <t>14.</t>
  </si>
  <si>
    <t>15.</t>
  </si>
  <si>
    <t>12.</t>
  </si>
  <si>
    <t>13.</t>
  </si>
  <si>
    <t>16.</t>
  </si>
  <si>
    <t>17.</t>
  </si>
  <si>
    <t xml:space="preserve">       Krat.koeficient je        Gibljiva sred.-tč.17/tč.9.3.</t>
  </si>
  <si>
    <t>Drugi odhodki poslovanja v 000 sit</t>
  </si>
  <si>
    <t>Gibljiva sredstva v 000 sit</t>
  </si>
  <si>
    <t>Dolgoročne poslovne terjatve v 000 sit</t>
  </si>
  <si>
    <t>Sprememba vrednosti zalog v 000 sit</t>
  </si>
  <si>
    <t xml:space="preserve">Donosnost kapitala v % </t>
  </si>
  <si>
    <t>DIMNIKARSTVO MARIBOR D.O.O.</t>
  </si>
  <si>
    <t>ZUM URBANIZEM, PLANIRANJE, PROJEKTIRANJE D.O.O.</t>
  </si>
  <si>
    <t>NIGRAD Javno komunalno podjetje d.d.</t>
  </si>
  <si>
    <t>Dolgoročne obveznosti - sredstva dana v upravljanje v 000 sit</t>
  </si>
  <si>
    <t>MARIBORSKI VODOVOD javno podjetje, d.d.</t>
  </si>
  <si>
    <t>Kinematografi Maribor d.o.o.</t>
  </si>
  <si>
    <t>Casino Maribor igre na srečo d.d.</t>
  </si>
  <si>
    <t>Pik d.d.</t>
  </si>
  <si>
    <t>Veterinarska bolnica Maribor d.o.o.</t>
  </si>
  <si>
    <t>STTC d.d.</t>
  </si>
  <si>
    <t>Cestno podjetje Maribor d.d.</t>
  </si>
  <si>
    <t>Florina d.d.</t>
  </si>
  <si>
    <t>Pogrebno podjetje Maribor d.d.</t>
  </si>
  <si>
    <t xml:space="preserve"> </t>
  </si>
  <si>
    <t>KRS ROTOVŽ d.d.</t>
  </si>
  <si>
    <t>Dolgoročne obveznosti iz poslovanja in financiranja v 000 sit</t>
  </si>
  <si>
    <t>MB-LES d.d. -  v stečaju</t>
  </si>
  <si>
    <t>ZIM zasnove in vodenje investicij d.o.o.</t>
  </si>
  <si>
    <t>Dolgoročne obveznosti iz financiranja in poslovanja v 000 sit</t>
  </si>
  <si>
    <t>STANINVEST d.o.o.</t>
  </si>
  <si>
    <t>Tržnica Maribor d.d.</t>
  </si>
  <si>
    <t>Javno podjetje za gospodarjenje s stavbnimi zemljišči d.o.o.</t>
  </si>
  <si>
    <t>Finančni vzvod 1</t>
  </si>
  <si>
    <t>Finančni vzvod 2</t>
  </si>
  <si>
    <t>11.a</t>
  </si>
  <si>
    <t xml:space="preserve">       Finančni vzvod 1 je       ((tč.9-tč.9.2.1)./tč.3)*100</t>
  </si>
  <si>
    <t xml:space="preserve">       Finančni vzvod 2 je       ((tč.9-tč.9.2.1.-tč.9.3.)/tč.3)*100</t>
  </si>
  <si>
    <t xml:space="preserve">       ( enak finačnemu vzvodu 1, le dodatno izločene kratkoročne obveznosti)</t>
  </si>
  <si>
    <t>PLINARNA MARIBOR d.d.</t>
  </si>
  <si>
    <t>Sredstva dana v upravljanje v 000 sit</t>
  </si>
  <si>
    <t>Povprečno število zaposlenih iz delovnih ur v obračunskem obdob.</t>
  </si>
  <si>
    <t xml:space="preserve">       Kosmati donos je: Čisti prihodki od prodaje+Sprememba vrednosti zalog+Usredstveni</t>
  </si>
  <si>
    <t xml:space="preserve">                                   lastni proizvodi+Drugi poslovni prihodki</t>
  </si>
  <si>
    <t>Dividende so prikazane v tistem letu, ko so bile plačane.</t>
  </si>
  <si>
    <t>Podatek o povprečnem številu zaposlenih je iz GVIN-a</t>
  </si>
  <si>
    <t>Podatki so iz letnih poročil, oz. kjer ni podatka v letnem poročilu je podatek iz I BONA.oz. GVIN-a</t>
  </si>
  <si>
    <t>Certus avtobusni promet Maribor d.d.</t>
  </si>
  <si>
    <t>izvenbilančno v višini  540.564 v 000 SIT.</t>
  </si>
  <si>
    <t xml:space="preserve">iz dolgoročnih obveznosti iz poslovanja do Mestne občine Maribor. Dredstva so evidentirana </t>
  </si>
  <si>
    <t>V letu 2002 so sredstva dana v upravljanje izločena iz stalnih sredstev družbe Certus in v enaki višini</t>
  </si>
  <si>
    <t>Opomba pod točko 9.2.1.</t>
  </si>
  <si>
    <t>Po sklepu z 31.seje mestnega sveta MOM, z dne 10.07.2001 znašajo terjatve MOM  za</t>
  </si>
  <si>
    <t>sredstva dana v upravljanje ( usmerjena stanovanjska gradnja ) na dan 31.12.2000, 31.12.2001</t>
  </si>
  <si>
    <t>in 31.12.2002 SIT 479.111.048,00.</t>
  </si>
  <si>
    <t xml:space="preserve">        Dodana vredn.na zaposlenega za leto 2000 in 2001 je:   Kosmati donos-tč.-14.tč.-15/tč.1</t>
  </si>
  <si>
    <t xml:space="preserve">        Dodana vredn.na zaposlenega za leto 2002 je:      Kosmati donos-tč.13-tč.-14.tč.-15/tč.1</t>
  </si>
  <si>
    <t xml:space="preserve">DO </t>
  </si>
  <si>
    <t>IZDELANO</t>
  </si>
  <si>
    <t>MESTNA OBČINA MARIBOR</t>
  </si>
  <si>
    <t xml:space="preserve">          Oddelek za finance</t>
  </si>
  <si>
    <t>Olga Krebs Kauran, univ.dipl.ekon.</t>
  </si>
  <si>
    <t xml:space="preserve">        FINANČNI PODATKI</t>
  </si>
  <si>
    <t>Alenka Brvar Paliaga, univ.dipl.ekon.</t>
  </si>
  <si>
    <t>Mateja Šalamun, univ.dipl.ekon.</t>
  </si>
  <si>
    <t>za leto 2001.</t>
  </si>
  <si>
    <t xml:space="preserve">Bilance za leto 2001,ki so v letnih poročilih 2001, se razlikujejo od bilanc za leto 2001, ki so v letnih </t>
  </si>
  <si>
    <t xml:space="preserve">poročilih za leto 2002, saj so se z novimi SRS ob sestavi bilanc za leto 2002, tudi prilagajale bilance </t>
  </si>
  <si>
    <t>JAVNO PODJETJE TOPLOTNA OSKRBA d.o.o. MARIBOR</t>
  </si>
  <si>
    <t xml:space="preserve">Dividende so prikazane v tistem letu, ko so bile plačane. </t>
  </si>
  <si>
    <t>Maribor,12.02.2004</t>
  </si>
  <si>
    <t xml:space="preserve">                       </t>
  </si>
  <si>
    <t xml:space="preserve">    ZA OBDOBJE</t>
  </si>
  <si>
    <t xml:space="preserve">     DRUŽBE, V KATERIH IMA MOM KAPITALSKO NALOŽBO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</si>
</sst>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_ ;[Red]\-#,##0\ "/>
    <numFmt numFmtId="165" formatCode="#,##0.00_ ;[Red]\-#,##0.00\ "/>
    <numFmt numFmtId="166" formatCode="0.000"/>
    <numFmt numFmtId="167" formatCode="0.00_ ;[Red]\-0.00\ "/>
    <numFmt numFmtId="168" formatCode="0.0"/>
  </numFmts>
  <fonts count="10">
    <font>
      <sz val="10"/>
      <name val="Arial"/>
      <family val="0"/>
    </font>
    <font>
      <sz val="10"/>
      <color indexed="39"/>
      <name val="Arial"/>
      <family val="2"/>
    </font>
    <font>
      <u val="single"/>
      <sz val="10"/>
      <name val="Arial"/>
      <family val="2"/>
    </font>
    <font>
      <b/>
      <sz val="10"/>
      <color indexed="39"/>
      <name val="Arial"/>
      <family val="2"/>
    </font>
    <font>
      <b/>
      <sz val="12"/>
      <name val="Arial CE"/>
      <family val="2"/>
    </font>
    <font>
      <b/>
      <sz val="18"/>
      <color indexed="39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sz val="10"/>
      <color indexed="3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7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2" fontId="0" fillId="0" borderId="7" xfId="0" applyNumberForma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3" fontId="1" fillId="0" borderId="7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7" xfId="0" applyNumberFormat="1" applyFill="1" applyBorder="1" applyAlignment="1">
      <alignment/>
    </xf>
    <xf numFmtId="164" fontId="1" fillId="0" borderId="7" xfId="0" applyNumberFormat="1" applyFont="1" applyBorder="1" applyAlignment="1">
      <alignment/>
    </xf>
    <xf numFmtId="3" fontId="0" fillId="0" borderId="7" xfId="0" applyNumberForma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165" fontId="0" fillId="0" borderId="7" xfId="0" applyNumberFormat="1" applyFill="1" applyBorder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8" xfId="0" applyNumberFormat="1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/>
      <protection locked="0"/>
    </xf>
    <xf numFmtId="3" fontId="0" fillId="0" borderId="7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0" fillId="0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168" fontId="0" fillId="0" borderId="7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0" fillId="0" borderId="7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6"/>
  <sheetViews>
    <sheetView workbookViewId="0" topLeftCell="A35">
      <selection activeCell="F10" sqref="F10"/>
    </sheetView>
  </sheetViews>
  <sheetFormatPr defaultColWidth="9.140625" defaultRowHeight="12.75"/>
  <sheetData>
    <row r="4" ht="15.75">
      <c r="F4" s="48" t="s">
        <v>63</v>
      </c>
    </row>
    <row r="5" spans="1:3" ht="23.25">
      <c r="A5" s="49" t="s">
        <v>112</v>
      </c>
      <c r="B5" s="49"/>
      <c r="C5" s="49"/>
    </row>
    <row r="18" spans="4:8" ht="23.25">
      <c r="D18" s="50" t="s">
        <v>101</v>
      </c>
      <c r="E18" s="51"/>
      <c r="F18" s="51"/>
      <c r="G18" s="51"/>
      <c r="H18" s="52"/>
    </row>
    <row r="19" spans="4:8" ht="23.25">
      <c r="D19" s="51"/>
      <c r="E19" s="51" t="s">
        <v>111</v>
      </c>
      <c r="F19" s="51"/>
      <c r="G19" s="51"/>
      <c r="H19" s="52"/>
    </row>
    <row r="20" spans="4:8" ht="23.25">
      <c r="D20" s="52"/>
      <c r="E20" s="53" t="s">
        <v>110</v>
      </c>
      <c r="F20" s="52"/>
      <c r="G20" s="52"/>
      <c r="H20" s="52"/>
    </row>
    <row r="21" spans="5:8" ht="23.25">
      <c r="E21" s="54">
        <v>2000</v>
      </c>
      <c r="F21" s="53" t="s">
        <v>96</v>
      </c>
      <c r="G21" s="54">
        <v>2002</v>
      </c>
      <c r="H21" s="52"/>
    </row>
    <row r="36" spans="7:9" ht="15">
      <c r="G36" s="55"/>
      <c r="H36" s="55" t="s">
        <v>97</v>
      </c>
      <c r="I36" s="55"/>
    </row>
    <row r="37" spans="7:9" ht="15">
      <c r="G37" s="55" t="s">
        <v>98</v>
      </c>
      <c r="H37" s="55"/>
      <c r="I37" s="55"/>
    </row>
    <row r="38" spans="8:9" ht="15">
      <c r="H38" s="55"/>
      <c r="I38" s="55"/>
    </row>
    <row r="39" ht="15">
      <c r="G39" s="55" t="s">
        <v>99</v>
      </c>
    </row>
    <row r="40" ht="12.75">
      <c r="D40" s="56"/>
    </row>
    <row r="46" ht="12.75">
      <c r="C46" s="56" t="s">
        <v>109</v>
      </c>
    </row>
  </sheetData>
  <printOptions/>
  <pageMargins left="0.75" right="0.75" top="1" bottom="1" header="0" footer="0"/>
  <pageSetup horizontalDpi="1200" verticalDpi="12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54"/>
  <sheetViews>
    <sheetView workbookViewId="0" topLeftCell="B1">
      <selection activeCell="H8" sqref="H8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  <col min="6" max="6" width="10.140625" style="0" bestFit="1" customWidth="1"/>
  </cols>
  <sheetData>
    <row r="2" ht="12.75">
      <c r="D2" t="s">
        <v>18</v>
      </c>
    </row>
    <row r="3" ht="13.5" thickBot="1">
      <c r="D3" s="39" t="s">
        <v>57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234</v>
      </c>
      <c r="F6" s="13">
        <v>193</v>
      </c>
      <c r="G6" s="13">
        <v>147</v>
      </c>
    </row>
    <row r="7" spans="3:7" ht="12.75">
      <c r="C7" s="61" t="s">
        <v>1</v>
      </c>
      <c r="D7" s="61" t="s">
        <v>10</v>
      </c>
      <c r="E7" s="11">
        <v>1272095</v>
      </c>
      <c r="F7" s="11">
        <v>651945</v>
      </c>
      <c r="G7" s="11">
        <v>535747</v>
      </c>
    </row>
    <row r="8" spans="2:7" ht="12.75">
      <c r="B8" s="2">
        <v>1354095</v>
      </c>
      <c r="C8" s="61" t="s">
        <v>2</v>
      </c>
      <c r="D8" s="61" t="s">
        <v>11</v>
      </c>
      <c r="E8" s="11">
        <v>923307</v>
      </c>
      <c r="F8" s="11">
        <v>273387</v>
      </c>
      <c r="G8" s="11">
        <v>89631</v>
      </c>
    </row>
    <row r="9" spans="3:7" ht="12.75">
      <c r="C9" s="61" t="s">
        <v>3</v>
      </c>
      <c r="D9" s="61" t="s">
        <v>12</v>
      </c>
      <c r="E9" s="11">
        <v>987686</v>
      </c>
      <c r="F9" s="11">
        <v>987686</v>
      </c>
      <c r="G9" s="11">
        <v>987686</v>
      </c>
    </row>
    <row r="10" spans="3:7" ht="12.75">
      <c r="C10" s="61" t="s">
        <v>4</v>
      </c>
      <c r="D10" s="61" t="s">
        <v>13</v>
      </c>
      <c r="E10" s="26">
        <v>-72196</v>
      </c>
      <c r="F10" s="26">
        <v>-108324</v>
      </c>
      <c r="G10" s="26">
        <v>-822875</v>
      </c>
    </row>
    <row r="11" spans="3:8" ht="12.75">
      <c r="C11" s="61" t="s">
        <v>5</v>
      </c>
      <c r="D11" s="61" t="s">
        <v>14</v>
      </c>
      <c r="E11" s="11">
        <f>701456+13045+48682</f>
        <v>763183</v>
      </c>
      <c r="F11" s="11">
        <f>635036-35417+933+7360+105+37543+3607</f>
        <v>649167</v>
      </c>
      <c r="G11" s="11">
        <f>270143+22982+22452+3+27+2106+2311</f>
        <v>320024</v>
      </c>
      <c r="H11" s="18"/>
    </row>
    <row r="12" spans="3:7" ht="12.75">
      <c r="C12" s="61" t="s">
        <v>6</v>
      </c>
      <c r="D12" s="61" t="s">
        <v>15</v>
      </c>
      <c r="E12" s="26">
        <v>-551301</v>
      </c>
      <c r="F12" s="26">
        <v>-714551</v>
      </c>
      <c r="G12" s="26">
        <v>-183756</v>
      </c>
    </row>
    <row r="13" spans="3:7" ht="12.75">
      <c r="C13" s="61" t="s">
        <v>8</v>
      </c>
      <c r="D13" s="61" t="s">
        <v>16</v>
      </c>
      <c r="E13" s="11"/>
      <c r="F13" s="11"/>
      <c r="G13" s="11"/>
    </row>
    <row r="14" spans="3:7" ht="12.75">
      <c r="C14" s="61" t="s">
        <v>9</v>
      </c>
      <c r="D14" s="61" t="s">
        <v>17</v>
      </c>
      <c r="E14" s="20">
        <f>(+E25-E27-E28)/E6</f>
        <v>895.8931623931624</v>
      </c>
      <c r="F14" s="16">
        <f>(+F25-F27-F28)/F6</f>
        <v>1055.4352331606217</v>
      </c>
      <c r="G14" s="16">
        <f>(+G25-G26-G27-G28)/G6</f>
        <v>657.8231292517007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38">
        <f>(+E12/((E8+B8)/2))*100</f>
        <v>-48.41490435153741</v>
      </c>
      <c r="F16" s="38">
        <f>(+F12/((F8+E8)/2))*100</f>
        <v>-119.42083774131065</v>
      </c>
      <c r="G16" s="38">
        <f>(+G12/((G8+F8)/2))*100</f>
        <v>-101.23795514272021</v>
      </c>
    </row>
    <row r="17" spans="3:7" ht="12.75">
      <c r="C17" s="61" t="s">
        <v>20</v>
      </c>
      <c r="D17" s="61" t="s">
        <v>21</v>
      </c>
      <c r="E17" s="12">
        <f>SUM(E18:E19)+E21+E20</f>
        <v>346481</v>
      </c>
      <c r="F17" s="12">
        <f>SUM(F18:F19)+F21+F20</f>
        <v>378558</v>
      </c>
      <c r="G17" s="12">
        <f>SUM(G18:G19)+G21+G20</f>
        <v>446116</v>
      </c>
    </row>
    <row r="18" spans="3:7" ht="12.75">
      <c r="C18" s="61" t="s">
        <v>22</v>
      </c>
      <c r="D18" s="61" t="s">
        <v>23</v>
      </c>
      <c r="E18" s="11">
        <v>151259</v>
      </c>
      <c r="F18" s="11">
        <v>140909</v>
      </c>
      <c r="G18" s="11">
        <v>201785</v>
      </c>
    </row>
    <row r="19" spans="3:7" ht="12.75">
      <c r="C19" s="61" t="s">
        <v>24</v>
      </c>
      <c r="D19" s="61" t="s">
        <v>25</v>
      </c>
      <c r="E19" s="11">
        <f>22946</f>
        <v>22946</v>
      </c>
      <c r="F19" s="11">
        <v>12358</v>
      </c>
      <c r="G19" s="11">
        <v>142929</v>
      </c>
    </row>
    <row r="20" spans="3:7" ht="12.75">
      <c r="C20" s="61" t="s">
        <v>26</v>
      </c>
      <c r="D20" s="61" t="s">
        <v>79</v>
      </c>
      <c r="E20" s="11">
        <v>0</v>
      </c>
      <c r="F20" s="11">
        <v>0</v>
      </c>
      <c r="G20" s="11">
        <v>0</v>
      </c>
    </row>
    <row r="21" spans="3:7" ht="12.75">
      <c r="C21" s="61" t="s">
        <v>27</v>
      </c>
      <c r="D21" s="61" t="s">
        <v>28</v>
      </c>
      <c r="E21" s="11">
        <f>17056+155220</f>
        <v>172276</v>
      </c>
      <c r="F21" s="11">
        <v>225291</v>
      </c>
      <c r="G21" s="11">
        <v>101402</v>
      </c>
    </row>
    <row r="22" spans="3:7" ht="12.75">
      <c r="C22" s="61" t="s">
        <v>29</v>
      </c>
      <c r="D22" s="61" t="s">
        <v>30</v>
      </c>
      <c r="E22" s="17">
        <f>(+E29-E30)/E21</f>
        <v>1.5160788502170934</v>
      </c>
      <c r="F22" s="17">
        <f>(+F29-F30)/F21</f>
        <v>0.4962914630411335</v>
      </c>
      <c r="G22" s="17">
        <f>(+G29-G30)/G21</f>
        <v>0.7464842902506854</v>
      </c>
    </row>
    <row r="23" spans="3:7" ht="12.75">
      <c r="C23" s="61" t="s">
        <v>31</v>
      </c>
      <c r="D23" s="61" t="s">
        <v>72</v>
      </c>
      <c r="E23" s="47">
        <f>(+E17-E20)/E8*100</f>
        <v>37.52608828916059</v>
      </c>
      <c r="F23" s="47">
        <f>(+F17-F20)/F8*100</f>
        <v>138.46964193615642</v>
      </c>
      <c r="G23" s="47">
        <f>(+G17-G20)/G8*100</f>
        <v>497.7251174258906</v>
      </c>
    </row>
    <row r="24" spans="3:7" ht="12.75">
      <c r="C24" s="61" t="s">
        <v>74</v>
      </c>
      <c r="D24" s="61" t="s">
        <v>73</v>
      </c>
      <c r="E24" s="19">
        <f>(+E17-E20-E21)/E8*100</f>
        <v>18.86750560756065</v>
      </c>
      <c r="F24" s="19">
        <f>(+F17-F20-F21)/F8*100</f>
        <v>56.06228533178241</v>
      </c>
      <c r="G24" s="19">
        <f>(+G17-G20-G21)/G8*100</f>
        <v>384.59238433131395</v>
      </c>
    </row>
    <row r="25" spans="2:7" ht="12.75">
      <c r="B25" s="2"/>
      <c r="C25" s="10" t="s">
        <v>40</v>
      </c>
      <c r="D25" s="10" t="s">
        <v>36</v>
      </c>
      <c r="E25" s="11">
        <v>701456</v>
      </c>
      <c r="F25" s="11">
        <f>635036-35417+933+7360</f>
        <v>607912</v>
      </c>
      <c r="G25" s="11">
        <f>22982+270143+22452</f>
        <v>315577</v>
      </c>
    </row>
    <row r="26" spans="2:7" ht="12.75">
      <c r="B26" s="2"/>
      <c r="C26" s="10" t="s">
        <v>41</v>
      </c>
      <c r="D26" s="10" t="s">
        <v>48</v>
      </c>
      <c r="E26" s="26">
        <v>-677</v>
      </c>
      <c r="F26" s="26">
        <v>-35417</v>
      </c>
      <c r="G26" s="26">
        <v>22982</v>
      </c>
    </row>
    <row r="27" spans="2:7" ht="12.75">
      <c r="B27" s="2"/>
      <c r="C27" s="10" t="s">
        <v>38</v>
      </c>
      <c r="D27" s="10" t="s">
        <v>37</v>
      </c>
      <c r="E27" s="11">
        <v>478436</v>
      </c>
      <c r="F27" s="11">
        <v>396503</v>
      </c>
      <c r="G27" s="11">
        <v>183364</v>
      </c>
    </row>
    <row r="28" spans="2:7" ht="12.75">
      <c r="B28" s="2"/>
      <c r="C28" s="10" t="s">
        <v>39</v>
      </c>
      <c r="D28" s="10" t="s">
        <v>45</v>
      </c>
      <c r="E28" s="11">
        <v>13381</v>
      </c>
      <c r="F28" s="11">
        <v>7710</v>
      </c>
      <c r="G28" s="11">
        <v>12531</v>
      </c>
    </row>
    <row r="29" spans="2:7" ht="12.75">
      <c r="B29" s="2"/>
      <c r="C29" s="10" t="s">
        <v>42</v>
      </c>
      <c r="D29" s="10" t="s">
        <v>46</v>
      </c>
      <c r="E29" s="11">
        <v>261184</v>
      </c>
      <c r="F29" s="11">
        <v>111810</v>
      </c>
      <c r="G29" s="11">
        <v>75695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0</v>
      </c>
      <c r="G30" s="11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5" ht="12.75">
      <c r="D40" s="24" t="s">
        <v>75</v>
      </c>
      <c r="E40" s="24"/>
    </row>
    <row r="41" spans="4:5" ht="12.75">
      <c r="D41" s="24"/>
      <c r="E41" s="24"/>
    </row>
    <row r="42" spans="4:5" ht="12.75">
      <c r="D42" s="24" t="s">
        <v>76</v>
      </c>
      <c r="E42" s="24"/>
    </row>
    <row r="43" spans="4:5" ht="12.75">
      <c r="D43" s="24" t="s">
        <v>77</v>
      </c>
      <c r="E43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2" ht="12.75">
      <c r="D52" t="s">
        <v>105</v>
      </c>
    </row>
    <row r="53" ht="12.75">
      <c r="D53" t="s">
        <v>106</v>
      </c>
    </row>
    <row r="54" ht="12.75">
      <c r="D54" t="s">
        <v>104</v>
      </c>
    </row>
  </sheetData>
  <printOptions/>
  <pageMargins left="0.75" right="0.75" top="1" bottom="0.21" header="0" footer="0"/>
  <pageSetup horizontalDpi="1200" verticalDpi="1200" orientation="portrait" paperSize="9" r:id="rId1"/>
  <headerFooter alignWithMargins="0">
    <oddFooter>&amp;C-19-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G54"/>
  <sheetViews>
    <sheetView workbookViewId="0" topLeftCell="B1">
      <selection activeCell="D10" sqref="D10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  <col min="6" max="6" width="12.7109375" style="0" bestFit="1" customWidth="1"/>
  </cols>
  <sheetData>
    <row r="2" ht="12.75">
      <c r="D2" t="s">
        <v>18</v>
      </c>
    </row>
    <row r="3" ht="13.5" thickBot="1">
      <c r="D3" s="39" t="s">
        <v>58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24</v>
      </c>
      <c r="F6" s="13">
        <v>24</v>
      </c>
      <c r="G6" s="13">
        <v>22</v>
      </c>
    </row>
    <row r="7" spans="3:7" ht="12.75">
      <c r="C7" s="61" t="s">
        <v>1</v>
      </c>
      <c r="D7" s="61" t="s">
        <v>10</v>
      </c>
      <c r="E7" s="11">
        <v>172124</v>
      </c>
      <c r="F7" s="11">
        <v>183417</v>
      </c>
      <c r="G7" s="11">
        <v>158949</v>
      </c>
    </row>
    <row r="8" spans="2:7" ht="12.75">
      <c r="B8" s="2">
        <v>43743</v>
      </c>
      <c r="C8" s="61" t="s">
        <v>2</v>
      </c>
      <c r="D8" s="61" t="s">
        <v>11</v>
      </c>
      <c r="E8" s="11">
        <v>45424</v>
      </c>
      <c r="F8" s="11">
        <v>51230</v>
      </c>
      <c r="G8" s="11">
        <v>15507</v>
      </c>
    </row>
    <row r="9" spans="3:7" ht="12.75">
      <c r="C9" s="61" t="s">
        <v>3</v>
      </c>
      <c r="D9" s="61" t="s">
        <v>12</v>
      </c>
      <c r="E9" s="11">
        <v>32640</v>
      </c>
      <c r="F9" s="11">
        <v>32640</v>
      </c>
      <c r="G9" s="11">
        <v>32640</v>
      </c>
    </row>
    <row r="10" spans="3:7" ht="12.75">
      <c r="C10" s="61" t="s">
        <v>4</v>
      </c>
      <c r="D10" s="61" t="s">
        <v>13</v>
      </c>
      <c r="E10" s="11">
        <v>1523</v>
      </c>
      <c r="F10" s="11">
        <v>2103</v>
      </c>
      <c r="G10" s="11">
        <v>0</v>
      </c>
    </row>
    <row r="11" spans="3:7" ht="12.75">
      <c r="C11" s="61" t="s">
        <v>5</v>
      </c>
      <c r="D11" s="61" t="s">
        <v>14</v>
      </c>
      <c r="E11" s="11">
        <f>256772+9009+4499</f>
        <v>270280</v>
      </c>
      <c r="F11" s="11">
        <f>234445+61942+1405</f>
        <v>297792</v>
      </c>
      <c r="G11" s="11">
        <f>258590+7956+2103</f>
        <v>268649</v>
      </c>
    </row>
    <row r="12" spans="3:7" ht="12.75">
      <c r="C12" s="61" t="s">
        <v>6</v>
      </c>
      <c r="D12" s="61" t="s">
        <v>15</v>
      </c>
      <c r="E12" s="26">
        <v>443</v>
      </c>
      <c r="F12" s="26">
        <v>2628</v>
      </c>
      <c r="G12" s="26">
        <v>-30601</v>
      </c>
    </row>
    <row r="13" spans="3:7" ht="12.75">
      <c r="C13" s="61" t="s">
        <v>8</v>
      </c>
      <c r="D13" s="61" t="s">
        <v>16</v>
      </c>
      <c r="E13" s="11"/>
      <c r="F13" s="11"/>
      <c r="G13" s="11"/>
    </row>
    <row r="14" spans="3:7" ht="12.75">
      <c r="C14" s="61" t="s">
        <v>9</v>
      </c>
      <c r="D14" s="61" t="s">
        <v>17</v>
      </c>
      <c r="E14" s="20">
        <f>(+E25-E27-E28)/E6</f>
        <v>5609.5</v>
      </c>
      <c r="F14" s="16">
        <f>(+F25-F27-F28)/F6</f>
        <v>6936.25</v>
      </c>
      <c r="G14" s="16">
        <f>(+G25-G26-G27-G28)/G6</f>
        <v>6483.318181818182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38">
        <f>(+E12/((E8+B8)/2))*100</f>
        <v>0.9936411452667467</v>
      </c>
      <c r="F16" s="38">
        <f>(+F12/((F8+E8)/2))*100</f>
        <v>5.4379539387919795</v>
      </c>
      <c r="G16" s="38">
        <f>(+G12/((G8+F8)/2))*100</f>
        <v>-91.7062499063488</v>
      </c>
    </row>
    <row r="17" spans="3:7" ht="12.75">
      <c r="C17" s="61" t="s">
        <v>20</v>
      </c>
      <c r="D17" s="61" t="s">
        <v>21</v>
      </c>
      <c r="E17" s="12">
        <f>SUM(E18:E19)+E21+E20</f>
        <v>126700</v>
      </c>
      <c r="F17" s="12">
        <f>SUM(F18:F19)+F21+F20</f>
        <v>132187</v>
      </c>
      <c r="G17" s="12">
        <f>SUM(G18:G19)+G21+G20</f>
        <v>143442</v>
      </c>
    </row>
    <row r="18" spans="3:7" ht="12.75">
      <c r="C18" s="61" t="s">
        <v>22</v>
      </c>
      <c r="D18" s="61" t="s">
        <v>23</v>
      </c>
      <c r="E18" s="11">
        <v>0</v>
      </c>
      <c r="F18" s="11">
        <v>0</v>
      </c>
      <c r="G18" s="11">
        <v>0</v>
      </c>
    </row>
    <row r="19" spans="3:7" ht="12.75">
      <c r="C19" s="61" t="s">
        <v>24</v>
      </c>
      <c r="D19" s="61" t="s">
        <v>25</v>
      </c>
      <c r="E19" s="11">
        <v>680</v>
      </c>
      <c r="F19" s="11">
        <v>2383</v>
      </c>
      <c r="G19" s="11">
        <v>67412</v>
      </c>
    </row>
    <row r="20" spans="3:7" ht="12.75">
      <c r="C20" s="61" t="s">
        <v>26</v>
      </c>
      <c r="D20" s="61" t="s">
        <v>79</v>
      </c>
      <c r="E20" s="11">
        <v>0</v>
      </c>
      <c r="F20" s="11">
        <v>0</v>
      </c>
      <c r="G20" s="11">
        <v>0</v>
      </c>
    </row>
    <row r="21" spans="3:7" ht="12.75">
      <c r="C21" s="61" t="s">
        <v>27</v>
      </c>
      <c r="D21" s="61" t="s">
        <v>28</v>
      </c>
      <c r="E21" s="11">
        <f>94000+32020</f>
        <v>126020</v>
      </c>
      <c r="F21" s="11">
        <f>87100+42704</f>
        <v>129804</v>
      </c>
      <c r="G21" s="11">
        <v>76030</v>
      </c>
    </row>
    <row r="22" spans="3:7" ht="12.75">
      <c r="C22" s="61" t="s">
        <v>29</v>
      </c>
      <c r="D22" s="61" t="s">
        <v>30</v>
      </c>
      <c r="E22" s="17">
        <f>(+E29-E30)/E21</f>
        <v>0.8860577686081574</v>
      </c>
      <c r="F22" s="17">
        <f>(+F29-F30)/F21</f>
        <v>0.658238575082432</v>
      </c>
      <c r="G22" s="17">
        <f>(+G29-G30)/G21</f>
        <v>0.9393660397211627</v>
      </c>
    </row>
    <row r="23" spans="3:7" ht="12.75">
      <c r="C23" s="61" t="s">
        <v>31</v>
      </c>
      <c r="D23" s="61" t="s">
        <v>72</v>
      </c>
      <c r="E23" s="19">
        <f>(+E17-E20)/E8*100</f>
        <v>278.92743923916873</v>
      </c>
      <c r="F23" s="19">
        <f>(+F17-F20)/F8*100</f>
        <v>258.02654694514933</v>
      </c>
      <c r="G23" s="19">
        <f>(+G17-G20)/G8*100</f>
        <v>925.0145095763204</v>
      </c>
    </row>
    <row r="24" spans="3:7" ht="12.75">
      <c r="C24" s="61" t="s">
        <v>74</v>
      </c>
      <c r="D24" s="61" t="s">
        <v>73</v>
      </c>
      <c r="E24" s="19">
        <f>(+E17-E20-E21)/E8*100</f>
        <v>1.4970059880239521</v>
      </c>
      <c r="F24" s="19">
        <f>(+F17-F20-F21)/F8*100</f>
        <v>4.651571344915089</v>
      </c>
      <c r="G24" s="19">
        <f>(+G17-G20-G21)/G8*100</f>
        <v>434.7198039595022</v>
      </c>
    </row>
    <row r="25" spans="2:7" ht="12.75">
      <c r="B25" s="2"/>
      <c r="C25" s="10" t="s">
        <v>40</v>
      </c>
      <c r="D25" s="10" t="s">
        <v>36</v>
      </c>
      <c r="E25" s="11">
        <v>256772</v>
      </c>
      <c r="F25" s="11">
        <v>296387</v>
      </c>
      <c r="G25" s="11">
        <v>266546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0</v>
      </c>
    </row>
    <row r="27" spans="2:7" ht="12.75">
      <c r="B27" s="2"/>
      <c r="C27" s="10" t="s">
        <v>38</v>
      </c>
      <c r="D27" s="10" t="s">
        <v>37</v>
      </c>
      <c r="E27" s="11">
        <v>120860</v>
      </c>
      <c r="F27" s="11">
        <v>128228</v>
      </c>
      <c r="G27" s="11">
        <v>122824</v>
      </c>
    </row>
    <row r="28" spans="2:7" ht="12.75">
      <c r="B28" s="2"/>
      <c r="C28" s="10" t="s">
        <v>39</v>
      </c>
      <c r="D28" s="10" t="s">
        <v>45</v>
      </c>
      <c r="E28" s="11">
        <v>1284</v>
      </c>
      <c r="F28" s="11">
        <v>1689</v>
      </c>
      <c r="G28" s="11">
        <v>1089</v>
      </c>
    </row>
    <row r="29" spans="2:7" ht="12.75">
      <c r="B29" s="2"/>
      <c r="C29" s="10" t="s">
        <v>42</v>
      </c>
      <c r="D29" s="10" t="s">
        <v>46</v>
      </c>
      <c r="E29" s="11">
        <v>111661</v>
      </c>
      <c r="F29" s="11">
        <v>85442</v>
      </c>
      <c r="G29" s="11">
        <v>71420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0</v>
      </c>
      <c r="G30" s="11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6" ht="12.75">
      <c r="D40" s="24" t="s">
        <v>75</v>
      </c>
      <c r="E40" s="24"/>
      <c r="F40" s="24"/>
    </row>
    <row r="41" spans="4:6" ht="12.75">
      <c r="D41" s="24"/>
      <c r="E41" s="24"/>
      <c r="F41" s="24"/>
    </row>
    <row r="42" spans="4:6" ht="12.75">
      <c r="D42" s="24" t="s">
        <v>76</v>
      </c>
      <c r="E42" s="24"/>
      <c r="F42" s="24"/>
    </row>
    <row r="43" spans="4:6" ht="12.75">
      <c r="D43" s="24" t="s">
        <v>77</v>
      </c>
      <c r="E43" s="24"/>
      <c r="F43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2" ht="12.75">
      <c r="D52" t="s">
        <v>105</v>
      </c>
    </row>
    <row r="53" ht="12.75">
      <c r="D53" t="s">
        <v>106</v>
      </c>
    </row>
    <row r="54" ht="12.75">
      <c r="D54" t="s">
        <v>104</v>
      </c>
    </row>
  </sheetData>
  <printOptions/>
  <pageMargins left="0.75" right="0.75" top="1" bottom="0.18" header="0" footer="0"/>
  <pageSetup horizontalDpi="1200" verticalDpi="1200" orientation="portrait" paperSize="9" r:id="rId1"/>
  <headerFooter alignWithMargins="0">
    <oddFooter>&amp;C-20-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H57"/>
  <sheetViews>
    <sheetView workbookViewId="0" topLeftCell="C1">
      <selection activeCell="H7" sqref="H7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  <col min="6" max="6" width="10.421875" style="0" customWidth="1"/>
  </cols>
  <sheetData>
    <row r="2" ht="12.75">
      <c r="D2" t="s">
        <v>18</v>
      </c>
    </row>
    <row r="3" ht="13.5" thickBot="1">
      <c r="D3" s="39" t="s">
        <v>59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179</v>
      </c>
      <c r="F6" s="13">
        <v>188</v>
      </c>
      <c r="G6" s="13">
        <v>188</v>
      </c>
    </row>
    <row r="7" spans="3:7" ht="12.75">
      <c r="C7" s="61" t="s">
        <v>1</v>
      </c>
      <c r="D7" s="61" t="s">
        <v>10</v>
      </c>
      <c r="E7" s="11">
        <v>4963396</v>
      </c>
      <c r="F7" s="11">
        <v>5331311</v>
      </c>
      <c r="G7" s="11">
        <v>5690318</v>
      </c>
    </row>
    <row r="8" spans="2:7" ht="12.75">
      <c r="B8" s="2">
        <v>4006868</v>
      </c>
      <c r="C8" s="61" t="s">
        <v>2</v>
      </c>
      <c r="D8" s="61" t="s">
        <v>11</v>
      </c>
      <c r="E8" s="11">
        <v>4345770</v>
      </c>
      <c r="F8" s="11">
        <v>4686252</v>
      </c>
      <c r="G8" s="11">
        <v>5184547</v>
      </c>
    </row>
    <row r="9" spans="3:7" ht="12.75">
      <c r="C9" s="61" t="s">
        <v>3</v>
      </c>
      <c r="D9" s="61" t="s">
        <v>12</v>
      </c>
      <c r="E9" s="11">
        <v>1137752</v>
      </c>
      <c r="F9" s="11">
        <v>1137752</v>
      </c>
      <c r="G9" s="11">
        <v>1137752</v>
      </c>
    </row>
    <row r="10" spans="3:7" ht="12.75">
      <c r="C10" s="61" t="s">
        <v>4</v>
      </c>
      <c r="D10" s="61" t="s">
        <v>13</v>
      </c>
      <c r="E10" s="11">
        <v>55647</v>
      </c>
      <c r="F10" s="11">
        <v>64320</v>
      </c>
      <c r="G10" s="11">
        <v>100878</v>
      </c>
    </row>
    <row r="11" spans="3:8" ht="12.75">
      <c r="C11" s="61" t="s">
        <v>5</v>
      </c>
      <c r="D11" s="61" t="s">
        <v>14</v>
      </c>
      <c r="E11" s="11">
        <f>1597371+57807+11781</f>
        <v>1666959</v>
      </c>
      <c r="F11" s="11">
        <f>1973462+75+18741+39225+17224</f>
        <v>2048727</v>
      </c>
      <c r="G11" s="11">
        <f>1682521+67+42956+68488+4055</f>
        <v>1798087</v>
      </c>
      <c r="H11" s="21"/>
    </row>
    <row r="12" spans="3:7" ht="12.75">
      <c r="C12" s="61" t="s">
        <v>6</v>
      </c>
      <c r="D12" s="61" t="s">
        <v>15</v>
      </c>
      <c r="E12" s="11">
        <v>57891</v>
      </c>
      <c r="F12" s="11">
        <v>100878</v>
      </c>
      <c r="G12" s="11">
        <v>126753</v>
      </c>
    </row>
    <row r="13" spans="3:8" ht="12.75">
      <c r="C13" s="61" t="s">
        <v>8</v>
      </c>
      <c r="D13" s="61" t="s">
        <v>16</v>
      </c>
      <c r="E13" s="11">
        <v>959</v>
      </c>
      <c r="F13" s="11">
        <v>959</v>
      </c>
      <c r="G13" s="11">
        <v>832</v>
      </c>
      <c r="H13" s="2"/>
    </row>
    <row r="14" spans="3:7" ht="12.75">
      <c r="C14" s="61" t="s">
        <v>9</v>
      </c>
      <c r="D14" s="61" t="s">
        <v>17</v>
      </c>
      <c r="E14" s="20">
        <f>(+E25-E27-E28)/E6</f>
        <v>5065.3966480446925</v>
      </c>
      <c r="F14" s="16">
        <f>(+F25-F27-F28)/F6</f>
        <v>6269.521276595745</v>
      </c>
      <c r="G14" s="16">
        <f>(+G25-G26-G27-G28)/G6</f>
        <v>6358.031914893617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25">
        <f>(+E12/((E8+B8)/2))*100</f>
        <v>1.3861728474285608</v>
      </c>
      <c r="F16" s="25">
        <f>(+F12/((F8+E8)/2))*100</f>
        <v>2.233785524437385</v>
      </c>
      <c r="G16" s="25">
        <f>(+G12/((G8+F8)/2))*100</f>
        <v>2.5682419427241907</v>
      </c>
    </row>
    <row r="17" spans="3:7" ht="12.75">
      <c r="C17" s="61" t="s">
        <v>20</v>
      </c>
      <c r="D17" s="61" t="s">
        <v>21</v>
      </c>
      <c r="E17" s="12">
        <f>SUM(E18:E19)+E21+E20</f>
        <v>609124</v>
      </c>
      <c r="F17" s="12">
        <f>SUM(F18:F19)+F21+F20</f>
        <v>625192</v>
      </c>
      <c r="G17" s="12">
        <f>SUM(G18:G19)+G21+G20</f>
        <v>472262</v>
      </c>
    </row>
    <row r="18" spans="3:7" ht="12.75">
      <c r="C18" s="61" t="s">
        <v>22</v>
      </c>
      <c r="D18" s="61" t="s">
        <v>23</v>
      </c>
      <c r="E18" s="11">
        <v>0</v>
      </c>
      <c r="F18" s="11">
        <v>97500</v>
      </c>
      <c r="G18" s="11">
        <v>91000</v>
      </c>
    </row>
    <row r="19" spans="3:7" ht="12.75">
      <c r="C19" s="61" t="s">
        <v>24</v>
      </c>
      <c r="D19" s="61" t="s">
        <v>25</v>
      </c>
      <c r="E19" s="11">
        <v>0</v>
      </c>
      <c r="F19" s="11">
        <v>0</v>
      </c>
      <c r="G19" s="11">
        <v>0</v>
      </c>
    </row>
    <row r="20" spans="3:7" ht="12.75">
      <c r="C20" s="61" t="s">
        <v>26</v>
      </c>
      <c r="D20" s="61" t="s">
        <v>79</v>
      </c>
      <c r="E20" s="11">
        <v>0</v>
      </c>
      <c r="F20" s="11">
        <v>0</v>
      </c>
      <c r="G20" s="11">
        <v>0</v>
      </c>
    </row>
    <row r="21" spans="3:7" ht="12.75">
      <c r="C21" s="61" t="s">
        <v>27</v>
      </c>
      <c r="D21" s="61" t="s">
        <v>28</v>
      </c>
      <c r="E21" s="11">
        <v>609124</v>
      </c>
      <c r="F21" s="11">
        <v>527692</v>
      </c>
      <c r="G21" s="11">
        <v>381262</v>
      </c>
    </row>
    <row r="22" spans="3:7" ht="12.75">
      <c r="C22" s="61" t="s">
        <v>29</v>
      </c>
      <c r="D22" s="61" t="s">
        <v>30</v>
      </c>
      <c r="E22" s="17">
        <f>(+E29-E30)/E21</f>
        <v>1.1653522107157164</v>
      </c>
      <c r="F22" s="17">
        <f>(+F29-F30)/F21</f>
        <v>1.2491396496441105</v>
      </c>
      <c r="G22" s="17">
        <f>(+G29-G30)/G21</f>
        <v>1.5929282225870924</v>
      </c>
    </row>
    <row r="23" spans="3:7" ht="12.75">
      <c r="C23" s="61" t="s">
        <v>31</v>
      </c>
      <c r="D23" s="61" t="s">
        <v>72</v>
      </c>
      <c r="E23" s="47">
        <f>(+E17-E20)/E8*100</f>
        <v>14.016480393578124</v>
      </c>
      <c r="F23" s="47">
        <f>(+F17-F20)/F8*100</f>
        <v>13.340981236177655</v>
      </c>
      <c r="G23" s="47">
        <f>(+G17-G20)/G8*100</f>
        <v>9.109031126538152</v>
      </c>
    </row>
    <row r="24" spans="3:7" ht="12.75">
      <c r="C24" s="61" t="s">
        <v>74</v>
      </c>
      <c r="D24" s="61" t="s">
        <v>73</v>
      </c>
      <c r="E24" s="19">
        <f>(+E17-E20-E21)/E8*100</f>
        <v>0</v>
      </c>
      <c r="F24" s="19">
        <f>(+F17-F20-F21)/F8*100</f>
        <v>2.0805539266774384</v>
      </c>
      <c r="G24" s="19">
        <f>(+G17-G20-G21)/G8*100</f>
        <v>1.7552160294814572</v>
      </c>
    </row>
    <row r="25" spans="2:7" ht="12.75">
      <c r="B25" s="2"/>
      <c r="C25" s="10" t="s">
        <v>40</v>
      </c>
      <c r="D25" s="10" t="s">
        <v>36</v>
      </c>
      <c r="E25" s="11">
        <v>1597371</v>
      </c>
      <c r="F25" s="2">
        <f>1973462+75+18741</f>
        <v>1992278</v>
      </c>
      <c r="G25" s="11">
        <v>1725544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0</v>
      </c>
    </row>
    <row r="27" spans="2:7" ht="12.75">
      <c r="B27" s="2"/>
      <c r="C27" s="10" t="s">
        <v>38</v>
      </c>
      <c r="D27" s="10" t="s">
        <v>37</v>
      </c>
      <c r="E27" s="11">
        <v>667276</v>
      </c>
      <c r="F27" s="11">
        <v>780217</v>
      </c>
      <c r="G27" s="11">
        <v>499706</v>
      </c>
    </row>
    <row r="28" spans="2:7" ht="12.75">
      <c r="B28" s="2"/>
      <c r="C28" s="10" t="s">
        <v>39</v>
      </c>
      <c r="D28" s="10" t="s">
        <v>45</v>
      </c>
      <c r="E28" s="11">
        <v>23389</v>
      </c>
      <c r="F28" s="11">
        <v>33391</v>
      </c>
      <c r="G28" s="11">
        <v>30528</v>
      </c>
    </row>
    <row r="29" spans="2:7" ht="12.75">
      <c r="B29" s="2"/>
      <c r="C29" s="10" t="s">
        <v>42</v>
      </c>
      <c r="D29" s="10" t="s">
        <v>46</v>
      </c>
      <c r="E29" s="11">
        <v>709844</v>
      </c>
      <c r="F29" s="11">
        <v>659161</v>
      </c>
      <c r="G29" s="11">
        <v>607323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0</v>
      </c>
      <c r="G30" s="11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6" ht="12.75">
      <c r="D40" s="24" t="s">
        <v>75</v>
      </c>
      <c r="E40" s="24"/>
      <c r="F40" s="24"/>
    </row>
    <row r="41" spans="4:6" ht="12.75">
      <c r="D41" s="24"/>
      <c r="E41" s="24"/>
      <c r="F41" s="24"/>
    </row>
    <row r="42" spans="4:6" ht="12.75">
      <c r="D42" s="24" t="s">
        <v>76</v>
      </c>
      <c r="E42" s="24"/>
      <c r="F42" s="24"/>
    </row>
    <row r="43" spans="4:6" ht="12.75">
      <c r="D43" s="24" t="s">
        <v>77</v>
      </c>
      <c r="E43" s="24"/>
      <c r="F43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1" spans="5:7" ht="12.75">
      <c r="E51" s="58" t="s">
        <v>7</v>
      </c>
      <c r="F51" s="58" t="s">
        <v>7</v>
      </c>
      <c r="G51" s="58" t="s">
        <v>7</v>
      </c>
    </row>
    <row r="52" spans="5:7" ht="12.75">
      <c r="E52" s="58">
        <v>1997</v>
      </c>
      <c r="F52" s="58">
        <v>1998</v>
      </c>
      <c r="G52" s="58">
        <v>1999</v>
      </c>
    </row>
    <row r="53" spans="4:7" ht="12.75">
      <c r="D53" s="29" t="s">
        <v>16</v>
      </c>
      <c r="E53" s="59">
        <v>0</v>
      </c>
      <c r="F53" s="59">
        <v>959</v>
      </c>
      <c r="G53" s="59">
        <v>0</v>
      </c>
    </row>
    <row r="55" ht="12.75">
      <c r="D55" t="s">
        <v>105</v>
      </c>
    </row>
    <row r="56" ht="12.75">
      <c r="D56" t="s">
        <v>106</v>
      </c>
    </row>
    <row r="57" ht="12.75">
      <c r="D57" t="s">
        <v>104</v>
      </c>
    </row>
  </sheetData>
  <printOptions/>
  <pageMargins left="0.75" right="0.75" top="1" bottom="0.21" header="0" footer="0"/>
  <pageSetup horizontalDpi="1200" verticalDpi="1200" orientation="portrait" paperSize="9" r:id="rId1"/>
  <headerFooter alignWithMargins="0">
    <oddFooter>&amp;C-21-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G57"/>
  <sheetViews>
    <sheetView workbookViewId="0" topLeftCell="B1">
      <selection activeCell="D10" sqref="D10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60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650</v>
      </c>
      <c r="F6" s="13">
        <v>581</v>
      </c>
      <c r="G6" s="13">
        <v>500</v>
      </c>
    </row>
    <row r="7" spans="3:7" ht="12.75">
      <c r="C7" s="61" t="s">
        <v>1</v>
      </c>
      <c r="D7" s="61" t="s">
        <v>10</v>
      </c>
      <c r="E7" s="11">
        <v>4728443</v>
      </c>
      <c r="F7" s="11">
        <v>4796282</v>
      </c>
      <c r="G7" s="11">
        <v>5138696</v>
      </c>
    </row>
    <row r="8" spans="2:7" ht="12.75">
      <c r="B8" s="2">
        <v>1866900</v>
      </c>
      <c r="C8" s="61" t="s">
        <v>2</v>
      </c>
      <c r="D8" s="61" t="s">
        <v>11</v>
      </c>
      <c r="E8" s="11">
        <v>1957515</v>
      </c>
      <c r="F8" s="11">
        <v>2102106</v>
      </c>
      <c r="G8" s="11">
        <v>1528925</v>
      </c>
    </row>
    <row r="9" spans="3:7" ht="12.75">
      <c r="C9" s="61" t="s">
        <v>3</v>
      </c>
      <c r="D9" s="61" t="s">
        <v>12</v>
      </c>
      <c r="E9" s="11">
        <v>508842</v>
      </c>
      <c r="F9" s="11">
        <v>508842</v>
      </c>
      <c r="G9" s="11">
        <v>508842</v>
      </c>
    </row>
    <row r="10" spans="3:7" ht="12.75">
      <c r="C10" s="61" t="s">
        <v>4</v>
      </c>
      <c r="D10" s="61" t="s">
        <v>13</v>
      </c>
      <c r="E10" s="11">
        <v>200026</v>
      </c>
      <c r="F10" s="11">
        <v>219341</v>
      </c>
      <c r="G10" s="11">
        <v>292388</v>
      </c>
    </row>
    <row r="11" spans="3:7" ht="12.75">
      <c r="C11" s="61" t="s">
        <v>5</v>
      </c>
      <c r="D11" s="61" t="s">
        <v>14</v>
      </c>
      <c r="E11" s="11">
        <f>6162062+37008+1662+17634+110724</f>
        <v>6329090</v>
      </c>
      <c r="F11" s="11">
        <f>5346586+38071+1895+51725+45712</f>
        <v>5483989</v>
      </c>
      <c r="G11" s="11">
        <f>5151082+7978+13250+118370+165175</f>
        <v>5455855</v>
      </c>
    </row>
    <row r="12" spans="3:7" ht="12.75">
      <c r="C12" s="61" t="s">
        <v>6</v>
      </c>
      <c r="D12" s="61" t="s">
        <v>15</v>
      </c>
      <c r="E12" s="11">
        <v>19314</v>
      </c>
      <c r="F12" s="11">
        <v>7564</v>
      </c>
      <c r="G12" s="26">
        <v>-212865</v>
      </c>
    </row>
    <row r="13" spans="3:7" ht="12.75">
      <c r="C13" s="61" t="s">
        <v>8</v>
      </c>
      <c r="D13" s="61" t="s">
        <v>16</v>
      </c>
      <c r="E13" s="11">
        <v>1033</v>
      </c>
      <c r="F13" s="11">
        <v>2634</v>
      </c>
      <c r="G13" s="11">
        <v>0</v>
      </c>
    </row>
    <row r="14" spans="3:7" ht="12.75">
      <c r="C14" s="61" t="s">
        <v>9</v>
      </c>
      <c r="D14" s="61" t="s">
        <v>17</v>
      </c>
      <c r="E14" s="20">
        <f>(+E25-E27-E28)/E6</f>
        <v>3047.8446153846153</v>
      </c>
      <c r="F14" s="16">
        <f>(+F25-F27-F28)/F6</f>
        <v>3549.669535283993</v>
      </c>
      <c r="G14" s="16">
        <f>(+G25-G26-G27-G28)/G6</f>
        <v>3528.234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25">
        <f>(+E12/((E8+B8)/2))*100</f>
        <v>1.0100368291621071</v>
      </c>
      <c r="F16" s="25">
        <f>(+F12/((F8+E8)/2))*100</f>
        <v>0.3726456238156222</v>
      </c>
      <c r="G16" s="38">
        <f>(+G12/((G8+F8)/2))*100</f>
        <v>-11.724769080737675</v>
      </c>
    </row>
    <row r="17" spans="3:7" ht="12.75">
      <c r="C17" s="61" t="s">
        <v>20</v>
      </c>
      <c r="D17" s="61" t="s">
        <v>21</v>
      </c>
      <c r="E17" s="12">
        <f>SUM(E18:E19)+E21+E20</f>
        <v>2532123</v>
      </c>
      <c r="F17" s="12">
        <f>SUM(F18:F19)+F21+F20</f>
        <v>2677502</v>
      </c>
      <c r="G17" s="12">
        <f>SUM(G18:G19)+G21+G20</f>
        <v>3347982</v>
      </c>
    </row>
    <row r="18" spans="3:7" ht="12.75">
      <c r="C18" s="61" t="s">
        <v>22</v>
      </c>
      <c r="D18" s="61" t="s">
        <v>23</v>
      </c>
      <c r="E18" s="11">
        <v>0</v>
      </c>
      <c r="F18" s="11">
        <v>0</v>
      </c>
      <c r="G18" s="11">
        <v>816882</v>
      </c>
    </row>
    <row r="19" spans="3:7" ht="12.75">
      <c r="C19" s="61" t="s">
        <v>24</v>
      </c>
      <c r="D19" s="61" t="s">
        <v>25</v>
      </c>
      <c r="E19" s="11">
        <v>40521</v>
      </c>
      <c r="F19" s="11">
        <v>0</v>
      </c>
      <c r="G19" s="11">
        <v>0</v>
      </c>
    </row>
    <row r="20" spans="3:7" ht="12.75">
      <c r="C20" s="61" t="s">
        <v>26</v>
      </c>
      <c r="D20" s="61" t="s">
        <v>79</v>
      </c>
      <c r="E20" s="11">
        <v>0</v>
      </c>
      <c r="F20" s="11">
        <v>0</v>
      </c>
      <c r="G20" s="11">
        <v>0</v>
      </c>
    </row>
    <row r="21" spans="3:7" ht="12.75">
      <c r="C21" s="61" t="s">
        <v>27</v>
      </c>
      <c r="D21" s="61" t="s">
        <v>28</v>
      </c>
      <c r="E21" s="11">
        <f>250172+2241430</f>
        <v>2491602</v>
      </c>
      <c r="F21" s="11">
        <f>584450+2093052</f>
        <v>2677502</v>
      </c>
      <c r="G21" s="11">
        <v>2531100</v>
      </c>
    </row>
    <row r="22" spans="3:7" ht="12.75">
      <c r="C22" s="61" t="s">
        <v>29</v>
      </c>
      <c r="D22" s="61" t="s">
        <v>30</v>
      </c>
      <c r="E22" s="17">
        <f>(+E29-E30)/E21</f>
        <v>0.9522223051675187</v>
      </c>
      <c r="F22" s="17">
        <f>(+F29-F30)/F21</f>
        <v>0.9181741040716309</v>
      </c>
      <c r="G22" s="17">
        <f>(+G29-G30)/G21</f>
        <v>0.9065509067203983</v>
      </c>
    </row>
    <row r="23" spans="3:7" ht="12.75">
      <c r="C23" s="61" t="s">
        <v>31</v>
      </c>
      <c r="D23" s="61" t="s">
        <v>72</v>
      </c>
      <c r="E23" s="47">
        <f>(+E17-E20)/E8*100</f>
        <v>129.35395131071792</v>
      </c>
      <c r="F23" s="47">
        <f>(+F17-F20)/F8*100</f>
        <v>127.37235895811155</v>
      </c>
      <c r="G23" s="47">
        <f>(+G17-G20)/G8*100</f>
        <v>218.9762087741387</v>
      </c>
    </row>
    <row r="24" spans="3:7" ht="12.75">
      <c r="C24" s="61" t="s">
        <v>74</v>
      </c>
      <c r="D24" s="61" t="s">
        <v>73</v>
      </c>
      <c r="E24" s="19">
        <f>(+E17-E20-E21)/E8*100</f>
        <v>2.0700224519352344</v>
      </c>
      <c r="F24" s="19">
        <f>(+F17-F20-F21)/F8*100</f>
        <v>0</v>
      </c>
      <c r="G24" s="19">
        <f>(+G17-G20-G21)/G8*100</f>
        <v>53.4285200385892</v>
      </c>
    </row>
    <row r="25" spans="2:7" ht="12.75">
      <c r="B25" s="2"/>
      <c r="C25" s="10" t="s">
        <v>40</v>
      </c>
      <c r="D25" s="10" t="s">
        <v>36</v>
      </c>
      <c r="E25" s="11">
        <v>6199070</v>
      </c>
      <c r="F25" s="11">
        <v>5384657</v>
      </c>
      <c r="G25" s="11">
        <v>5233087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60777</v>
      </c>
    </row>
    <row r="27" spans="2:7" ht="12.75">
      <c r="B27" s="2"/>
      <c r="C27" s="10" t="s">
        <v>38</v>
      </c>
      <c r="D27" s="10" t="s">
        <v>37</v>
      </c>
      <c r="E27" s="11">
        <v>4201810</v>
      </c>
      <c r="F27" s="11">
        <v>3300245</v>
      </c>
      <c r="G27" s="11">
        <v>3378002</v>
      </c>
    </row>
    <row r="28" spans="2:7" ht="12.75">
      <c r="B28" s="2"/>
      <c r="C28" s="10" t="s">
        <v>39</v>
      </c>
      <c r="D28" s="10" t="s">
        <v>45</v>
      </c>
      <c r="E28" s="11">
        <v>16161</v>
      </c>
      <c r="F28" s="11">
        <v>22054</v>
      </c>
      <c r="G28" s="11">
        <v>30191</v>
      </c>
    </row>
    <row r="29" spans="2:7" ht="12.75">
      <c r="B29" s="2"/>
      <c r="C29" s="10" t="s">
        <v>42</v>
      </c>
      <c r="D29" s="10" t="s">
        <v>46</v>
      </c>
      <c r="E29" s="11">
        <v>2372871</v>
      </c>
      <c r="F29" s="11">
        <v>2458678</v>
      </c>
      <c r="G29" s="11">
        <v>2294717</v>
      </c>
    </row>
    <row r="30" spans="2:7" ht="12.75">
      <c r="B30" s="2"/>
      <c r="C30" s="10" t="s">
        <v>43</v>
      </c>
      <c r="D30" s="10" t="s">
        <v>47</v>
      </c>
      <c r="E30" s="11">
        <v>312</v>
      </c>
      <c r="F30" s="11">
        <v>265</v>
      </c>
      <c r="G30" s="11">
        <v>146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5" ht="12.75">
      <c r="D40" s="24" t="s">
        <v>75</v>
      </c>
      <c r="E40" s="24"/>
    </row>
    <row r="41" spans="4:5" ht="12.75">
      <c r="D41" s="24"/>
      <c r="E41" s="24"/>
    </row>
    <row r="42" spans="4:5" ht="12.75">
      <c r="D42" s="24" t="s">
        <v>76</v>
      </c>
      <c r="E42" s="24"/>
    </row>
    <row r="43" spans="4:5" ht="12.75">
      <c r="D43" s="24" t="s">
        <v>77</v>
      </c>
      <c r="E43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1" spans="5:7" ht="12.75">
      <c r="E51" s="58" t="s">
        <v>7</v>
      </c>
      <c r="F51" s="58" t="s">
        <v>7</v>
      </c>
      <c r="G51" s="58" t="s">
        <v>7</v>
      </c>
    </row>
    <row r="52" spans="5:7" ht="12.75">
      <c r="E52" s="58">
        <v>1997</v>
      </c>
      <c r="F52" s="58">
        <v>1998</v>
      </c>
      <c r="G52" s="58">
        <v>1999</v>
      </c>
    </row>
    <row r="53" spans="4:7" ht="12.75">
      <c r="D53" s="29" t="s">
        <v>16</v>
      </c>
      <c r="E53" s="59">
        <v>0</v>
      </c>
      <c r="F53" s="59">
        <v>2210</v>
      </c>
      <c r="G53" s="59">
        <v>0</v>
      </c>
    </row>
    <row r="55" ht="12.75">
      <c r="D55" t="s">
        <v>105</v>
      </c>
    </row>
    <row r="56" ht="12.75">
      <c r="D56" t="s">
        <v>106</v>
      </c>
    </row>
    <row r="57" ht="12.75">
      <c r="D57" t="s">
        <v>104</v>
      </c>
    </row>
  </sheetData>
  <printOptions/>
  <pageMargins left="0.75" right="0.75" top="1" bottom="0.16" header="0" footer="0"/>
  <pageSetup horizontalDpi="1200" verticalDpi="1200" orientation="portrait" paperSize="9" r:id="rId1"/>
  <headerFooter alignWithMargins="0">
    <oddFooter>&amp;C-2-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G54"/>
  <sheetViews>
    <sheetView workbookViewId="0" topLeftCell="B1">
      <selection activeCell="D7" sqref="D7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61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93</v>
      </c>
      <c r="F6" s="13">
        <v>79</v>
      </c>
      <c r="G6" s="13">
        <v>80</v>
      </c>
    </row>
    <row r="7" spans="3:7" ht="12.75">
      <c r="C7" s="61" t="s">
        <v>1</v>
      </c>
      <c r="D7" s="61" t="s">
        <v>10</v>
      </c>
      <c r="E7" s="11">
        <v>2080399</v>
      </c>
      <c r="F7" s="11">
        <v>2264405</v>
      </c>
      <c r="G7" s="11">
        <v>2334774</v>
      </c>
    </row>
    <row r="8" spans="2:7" ht="12.75">
      <c r="B8" s="2">
        <v>402627</v>
      </c>
      <c r="C8" s="61" t="s">
        <v>2</v>
      </c>
      <c r="D8" s="61" t="s">
        <v>11</v>
      </c>
      <c r="E8" s="11">
        <v>406291</v>
      </c>
      <c r="F8" s="11">
        <v>414988</v>
      </c>
      <c r="G8" s="11">
        <v>417614</v>
      </c>
    </row>
    <row r="9" spans="3:7" ht="12.75">
      <c r="C9" s="61" t="s">
        <v>3</v>
      </c>
      <c r="D9" s="61" t="s">
        <v>12</v>
      </c>
      <c r="E9" s="11">
        <v>155000</v>
      </c>
      <c r="F9" s="11">
        <v>155000</v>
      </c>
      <c r="G9" s="11">
        <v>155000</v>
      </c>
    </row>
    <row r="10" spans="3:7" ht="12.75">
      <c r="C10" s="61" t="s">
        <v>4</v>
      </c>
      <c r="D10" s="61" t="s">
        <v>13</v>
      </c>
      <c r="E10" s="11">
        <v>0</v>
      </c>
      <c r="F10" s="11">
        <v>0</v>
      </c>
      <c r="G10" s="11">
        <v>0</v>
      </c>
    </row>
    <row r="11" spans="3:7" ht="12.75">
      <c r="C11" s="61" t="s">
        <v>5</v>
      </c>
      <c r="D11" s="61" t="s">
        <v>14</v>
      </c>
      <c r="E11" s="11">
        <v>575606</v>
      </c>
      <c r="F11" s="11">
        <v>633966</v>
      </c>
      <c r="G11" s="11">
        <f>748841+378+18781+9+2729+6359+64907</f>
        <v>842004</v>
      </c>
    </row>
    <row r="12" spans="3:7" ht="12.75">
      <c r="C12" s="61" t="s">
        <v>6</v>
      </c>
      <c r="D12" s="61" t="s">
        <v>15</v>
      </c>
      <c r="E12" s="26">
        <v>-32170</v>
      </c>
      <c r="F12" s="26">
        <v>-19744</v>
      </c>
      <c r="G12" s="11">
        <v>2626</v>
      </c>
    </row>
    <row r="13" spans="3:7" ht="12.75">
      <c r="C13" s="61" t="s">
        <v>8</v>
      </c>
      <c r="D13" s="61" t="s">
        <v>16</v>
      </c>
      <c r="E13" s="11"/>
      <c r="F13" s="11"/>
      <c r="G13" s="11"/>
    </row>
    <row r="14" spans="3:7" ht="12.75">
      <c r="C14" s="61" t="s">
        <v>9</v>
      </c>
      <c r="D14" s="61" t="s">
        <v>17</v>
      </c>
      <c r="E14" s="20">
        <f>(+E25-E27-E28)/E6</f>
        <v>2124.3010752688174</v>
      </c>
      <c r="F14" s="16">
        <f>(+F25-F27-F28)/F6</f>
        <v>2574.1645569620255</v>
      </c>
      <c r="G14" s="16">
        <f>(+G25-G26-G27-G28)/G6</f>
        <v>2882.325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38">
        <f>(+E12/((E8+B8)/2))*100</f>
        <v>-7.95383462847903</v>
      </c>
      <c r="F16" s="38">
        <f>(+F12/((F8+E8)/2))*100</f>
        <v>-4.808110276775614</v>
      </c>
      <c r="G16" s="38">
        <f>(+G12/((G8+F8)/2))*100</f>
        <v>0.6307935844497131</v>
      </c>
    </row>
    <row r="17" spans="3:7" ht="12.75">
      <c r="C17" s="61" t="s">
        <v>20</v>
      </c>
      <c r="D17" s="61" t="s">
        <v>21</v>
      </c>
      <c r="E17" s="12">
        <f>SUM(E18:E19)+E21</f>
        <v>1671386</v>
      </c>
      <c r="F17" s="12">
        <f>SUM(F18:F19)+F21</f>
        <v>1848358</v>
      </c>
      <c r="G17" s="12">
        <f>SUM(G18:G19)+G21</f>
        <v>1917024</v>
      </c>
    </row>
    <row r="18" spans="3:7" ht="12.75">
      <c r="C18" s="61" t="s">
        <v>22</v>
      </c>
      <c r="D18" s="61" t="s">
        <v>23</v>
      </c>
      <c r="E18" s="11">
        <v>8181</v>
      </c>
      <c r="F18" s="11">
        <v>5076</v>
      </c>
      <c r="G18" s="11">
        <v>1971</v>
      </c>
    </row>
    <row r="19" spans="3:7" ht="12.75">
      <c r="C19" s="61" t="s">
        <v>24</v>
      </c>
      <c r="D19" s="61" t="s">
        <v>25</v>
      </c>
      <c r="E19" s="11">
        <v>1557961</v>
      </c>
      <c r="F19" s="11">
        <v>1657347</v>
      </c>
      <c r="G19" s="11">
        <v>1642715</v>
      </c>
    </row>
    <row r="20" spans="3:7" ht="12.75">
      <c r="C20" s="61" t="s">
        <v>26</v>
      </c>
      <c r="D20" s="61" t="s">
        <v>79</v>
      </c>
      <c r="E20" s="11">
        <v>1547354</v>
      </c>
      <c r="F20" s="11">
        <v>1651763</v>
      </c>
      <c r="G20" s="11">
        <v>1637537</v>
      </c>
    </row>
    <row r="21" spans="3:7" ht="12.75">
      <c r="C21" s="61" t="s">
        <v>27</v>
      </c>
      <c r="D21" s="61" t="s">
        <v>28</v>
      </c>
      <c r="E21" s="11">
        <v>105244</v>
      </c>
      <c r="F21" s="11">
        <v>185935</v>
      </c>
      <c r="G21" s="11">
        <v>272338</v>
      </c>
    </row>
    <row r="22" spans="3:7" ht="12.75">
      <c r="C22" s="61" t="s">
        <v>29</v>
      </c>
      <c r="D22" s="61" t="s">
        <v>30</v>
      </c>
      <c r="E22" s="17">
        <f>(+E29-E30)/E21</f>
        <v>1.2994184941659381</v>
      </c>
      <c r="F22" s="17">
        <f>(+F29-F30)/F21</f>
        <v>1.0277731465297013</v>
      </c>
      <c r="G22" s="17">
        <f>(+G29-G30)/G21</f>
        <v>0.952988565679413</v>
      </c>
    </row>
    <row r="23" spans="3:7" ht="12.75">
      <c r="C23" s="61" t="s">
        <v>31</v>
      </c>
      <c r="D23" s="61" t="s">
        <v>72</v>
      </c>
      <c r="E23" s="47">
        <f>(+E17-E20)/E8*100</f>
        <v>30.527872879290953</v>
      </c>
      <c r="F23" s="47">
        <f>(+F17-F20)/F8*100</f>
        <v>47.3736589973686</v>
      </c>
      <c r="G23" s="47">
        <f>(+G17-G20)/G8*100</f>
        <v>66.92471995670644</v>
      </c>
    </row>
    <row r="24" spans="3:7" ht="12.75">
      <c r="C24" s="61" t="s">
        <v>74</v>
      </c>
      <c r="D24" s="61" t="s">
        <v>73</v>
      </c>
      <c r="E24" s="19">
        <f>(+E17-E20-E21)/E8*100</f>
        <v>4.6242717658033285</v>
      </c>
      <c r="F24" s="19">
        <f>(+F17-F20-F21)/F8*100</f>
        <v>2.5687489758740014</v>
      </c>
      <c r="G24" s="19">
        <f>(+G17-G20-G21)/G8*100</f>
        <v>1.7118678971490422</v>
      </c>
    </row>
    <row r="25" spans="2:7" ht="12.75">
      <c r="B25" s="2"/>
      <c r="C25" s="10" t="s">
        <v>40</v>
      </c>
      <c r="D25" s="10" t="s">
        <v>36</v>
      </c>
      <c r="E25" s="11">
        <v>556140</v>
      </c>
      <c r="F25" s="11">
        <f>612870+4971+4084</f>
        <v>621925</v>
      </c>
      <c r="G25" s="11">
        <f>748841+64907+378+18781</f>
        <v>832907</v>
      </c>
    </row>
    <row r="26" spans="2:7" ht="12.75">
      <c r="B26" s="2"/>
      <c r="C26" s="10" t="s">
        <v>41</v>
      </c>
      <c r="D26" s="10" t="s">
        <v>48</v>
      </c>
      <c r="E26" s="11">
        <v>-2383</v>
      </c>
      <c r="F26" s="11">
        <v>4971</v>
      </c>
      <c r="G26" s="11">
        <v>64907</v>
      </c>
    </row>
    <row r="27" spans="2:7" ht="12.75">
      <c r="B27" s="2"/>
      <c r="C27" s="10" t="s">
        <v>38</v>
      </c>
      <c r="D27" s="10" t="s">
        <v>37</v>
      </c>
      <c r="E27" s="11">
        <v>354205</v>
      </c>
      <c r="F27" s="11">
        <v>414097</v>
      </c>
      <c r="G27" s="11">
        <v>529768</v>
      </c>
    </row>
    <row r="28" spans="2:7" ht="12.75">
      <c r="B28" s="2"/>
      <c r="C28" s="10" t="s">
        <v>39</v>
      </c>
      <c r="D28" s="10" t="s">
        <v>45</v>
      </c>
      <c r="E28" s="11">
        <v>4375</v>
      </c>
      <c r="F28" s="11">
        <v>4469</v>
      </c>
      <c r="G28" s="11">
        <v>7646</v>
      </c>
    </row>
    <row r="29" spans="2:7" ht="12.75">
      <c r="B29" s="2"/>
      <c r="C29" s="10" t="s">
        <v>42</v>
      </c>
      <c r="D29" s="10" t="s">
        <v>46</v>
      </c>
      <c r="E29" s="11">
        <v>136756</v>
      </c>
      <c r="F29" s="11">
        <v>191099</v>
      </c>
      <c r="G29" s="11">
        <v>259535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0</v>
      </c>
      <c r="G30" s="11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7" ht="12.75">
      <c r="D40" s="24" t="s">
        <v>75</v>
      </c>
      <c r="E40" s="24"/>
      <c r="F40" s="24"/>
      <c r="G40" s="24"/>
    </row>
    <row r="41" spans="4:7" ht="12.75">
      <c r="D41" s="24"/>
      <c r="E41" s="24"/>
      <c r="F41" s="24"/>
      <c r="G41" s="24"/>
    </row>
    <row r="42" spans="4:7" ht="12.75">
      <c r="D42" s="24" t="s">
        <v>76</v>
      </c>
      <c r="E42" s="24"/>
      <c r="F42" s="24"/>
      <c r="G42" s="24"/>
    </row>
    <row r="43" spans="4:7" ht="12.75">
      <c r="D43" s="24" t="s">
        <v>77</v>
      </c>
      <c r="E43" s="24"/>
      <c r="F43" s="24"/>
      <c r="G43" s="24"/>
    </row>
    <row r="44" spans="4:7" ht="12.75">
      <c r="D44" s="24"/>
      <c r="E44" s="24"/>
      <c r="F44" s="24"/>
      <c r="G44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2" ht="12.75">
      <c r="D52" t="s">
        <v>105</v>
      </c>
    </row>
    <row r="53" ht="12.75">
      <c r="D53" t="s">
        <v>106</v>
      </c>
    </row>
    <row r="54" ht="12.75">
      <c r="D54" t="s">
        <v>104</v>
      </c>
    </row>
  </sheetData>
  <printOptions/>
  <pageMargins left="0.75" right="0.75" top="1" bottom="0.18" header="0" footer="0"/>
  <pageSetup horizontalDpi="1200" verticalDpi="1200" orientation="portrait" paperSize="9" r:id="rId1"/>
  <headerFooter alignWithMargins="0">
    <oddFooter>&amp;C-3-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G54"/>
  <sheetViews>
    <sheetView workbookViewId="0" topLeftCell="B1">
      <selection activeCell="H18" sqref="H18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62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 t="s">
        <v>63</v>
      </c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50</v>
      </c>
      <c r="F6" s="13">
        <v>52</v>
      </c>
      <c r="G6" s="13">
        <v>52</v>
      </c>
    </row>
    <row r="7" spans="3:7" ht="12.75">
      <c r="C7" s="61" t="s">
        <v>1</v>
      </c>
      <c r="D7" s="61" t="s">
        <v>10</v>
      </c>
      <c r="E7" s="11">
        <v>1505214</v>
      </c>
      <c r="F7" s="11">
        <v>1534930</v>
      </c>
      <c r="G7" s="11">
        <v>1504437</v>
      </c>
    </row>
    <row r="8" spans="2:7" ht="12.75">
      <c r="B8" s="2">
        <v>203567</v>
      </c>
      <c r="C8" s="61" t="s">
        <v>2</v>
      </c>
      <c r="D8" s="61" t="s">
        <v>11</v>
      </c>
      <c r="E8" s="11">
        <v>225074</v>
      </c>
      <c r="F8" s="11">
        <v>242376</v>
      </c>
      <c r="G8" s="11">
        <v>238870</v>
      </c>
    </row>
    <row r="9" spans="3:7" ht="12.75">
      <c r="C9" s="61" t="s">
        <v>3</v>
      </c>
      <c r="D9" s="61" t="s">
        <v>12</v>
      </c>
      <c r="E9" s="11">
        <v>87284</v>
      </c>
      <c r="F9" s="11">
        <v>87284</v>
      </c>
      <c r="G9" s="11">
        <v>87284</v>
      </c>
    </row>
    <row r="10" spans="3:7" ht="12.75">
      <c r="C10" s="61" t="s">
        <v>4</v>
      </c>
      <c r="D10" s="61" t="s">
        <v>13</v>
      </c>
      <c r="E10" s="11">
        <v>10276</v>
      </c>
      <c r="F10" s="11">
        <v>15663</v>
      </c>
      <c r="G10" s="11">
        <v>774</v>
      </c>
    </row>
    <row r="11" spans="3:7" ht="12.75">
      <c r="C11" s="61" t="s">
        <v>5</v>
      </c>
      <c r="D11" s="61" t="s">
        <v>14</v>
      </c>
      <c r="E11" s="11">
        <f>446002+1573+7969</f>
        <v>455544</v>
      </c>
      <c r="F11" s="11">
        <f>457460+9357+123+7515</f>
        <v>474455</v>
      </c>
      <c r="G11" s="11">
        <f>466098+10847+1133+16673</f>
        <v>494751</v>
      </c>
    </row>
    <row r="12" spans="3:7" ht="12.75">
      <c r="C12" s="61" t="s">
        <v>6</v>
      </c>
      <c r="D12" s="61" t="s">
        <v>15</v>
      </c>
      <c r="E12" s="26">
        <v>3388</v>
      </c>
      <c r="F12" s="26">
        <v>1548</v>
      </c>
      <c r="G12" s="26">
        <v>-3506</v>
      </c>
    </row>
    <row r="13" spans="3:7" ht="12.75">
      <c r="C13" s="61" t="s">
        <v>8</v>
      </c>
      <c r="D13" s="61" t="s">
        <v>16</v>
      </c>
      <c r="E13" s="11"/>
      <c r="F13" s="11"/>
      <c r="G13" s="11"/>
    </row>
    <row r="14" spans="3:7" ht="12.75">
      <c r="C14" s="61" t="s">
        <v>9</v>
      </c>
      <c r="D14" s="61" t="s">
        <v>17</v>
      </c>
      <c r="E14" s="20">
        <f>(+E25-E27-E28)/E6</f>
        <v>4848.1</v>
      </c>
      <c r="F14" s="16">
        <f>(+F25-F27-F28)/F6</f>
        <v>4759.038461538462</v>
      </c>
      <c r="G14" s="16">
        <f>(+G25-G26-G27-G28)/G6</f>
        <v>4858.057692307692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38">
        <f>(+E12/((E8+B8)/2))*100</f>
        <v>1.5808100485021264</v>
      </c>
      <c r="F16" s="38">
        <f>(+F12/((F8+E8)/2))*100</f>
        <v>0.6623168253289122</v>
      </c>
      <c r="G16" s="38">
        <f>(+G12/((G8+F8)/2))*100</f>
        <v>-1.4570510715933223</v>
      </c>
    </row>
    <row r="17" spans="3:7" ht="12.75">
      <c r="C17" s="61" t="s">
        <v>20</v>
      </c>
      <c r="D17" s="61" t="s">
        <v>21</v>
      </c>
      <c r="E17" s="12">
        <f>SUM(E18:E19)+E21</f>
        <v>1252831</v>
      </c>
      <c r="F17" s="12">
        <f>SUM(F18:F19)+F21</f>
        <v>1272479</v>
      </c>
      <c r="G17" s="12">
        <f>SUM(G18:G19)+G21</f>
        <v>1256059</v>
      </c>
    </row>
    <row r="18" spans="3:7" ht="12.75">
      <c r="C18" s="61" t="s">
        <v>22</v>
      </c>
      <c r="D18" s="61" t="s">
        <v>23</v>
      </c>
      <c r="E18" s="11">
        <v>108750</v>
      </c>
      <c r="F18" s="11">
        <v>94250</v>
      </c>
      <c r="G18" s="11">
        <v>79750</v>
      </c>
    </row>
    <row r="19" spans="3:7" ht="12.75">
      <c r="C19" s="61" t="s">
        <v>24</v>
      </c>
      <c r="D19" s="61" t="s">
        <v>25</v>
      </c>
      <c r="E19" s="11">
        <v>1083188</v>
      </c>
      <c r="F19" s="11">
        <v>1107247</v>
      </c>
      <c r="G19" s="11">
        <v>1097101</v>
      </c>
    </row>
    <row r="20" spans="3:7" ht="12.75">
      <c r="C20" s="61" t="s">
        <v>26</v>
      </c>
      <c r="D20" s="61" t="s">
        <v>53</v>
      </c>
      <c r="E20" s="11">
        <v>1083188</v>
      </c>
      <c r="F20" s="11">
        <v>1107247</v>
      </c>
      <c r="G20" s="11">
        <v>1097101</v>
      </c>
    </row>
    <row r="21" spans="3:7" ht="12.75">
      <c r="C21" s="61" t="s">
        <v>27</v>
      </c>
      <c r="D21" s="61" t="s">
        <v>28</v>
      </c>
      <c r="E21" s="11">
        <f>14500+46393</f>
        <v>60893</v>
      </c>
      <c r="F21" s="11">
        <v>70982</v>
      </c>
      <c r="G21" s="11">
        <v>79208</v>
      </c>
    </row>
    <row r="22" spans="3:7" ht="12.75">
      <c r="C22" s="61" t="s">
        <v>29</v>
      </c>
      <c r="D22" s="61" t="s">
        <v>30</v>
      </c>
      <c r="E22" s="17">
        <f>(+E29-E30)/E21</f>
        <v>0.5623963345540538</v>
      </c>
      <c r="F22" s="17">
        <f>(+F29-F30)/F21</f>
        <v>0.695979262348201</v>
      </c>
      <c r="G22" s="17">
        <f>(+G29-G30)/G21</f>
        <v>0.6525855974144026</v>
      </c>
    </row>
    <row r="23" spans="3:7" ht="12.75">
      <c r="C23" s="61" t="s">
        <v>31</v>
      </c>
      <c r="D23" s="61" t="s">
        <v>72</v>
      </c>
      <c r="E23" s="47">
        <f>(+E17-E20)/E8*100</f>
        <v>75.3720998427184</v>
      </c>
      <c r="F23" s="47">
        <f>(+F17-F20)/F8*100</f>
        <v>68.17176618147012</v>
      </c>
      <c r="G23" s="47">
        <f>(+G17-G20)/G8*100</f>
        <v>66.54581990203876</v>
      </c>
    </row>
    <row r="24" spans="3:7" ht="12.75">
      <c r="C24" s="61" t="s">
        <v>74</v>
      </c>
      <c r="D24" s="61" t="s">
        <v>73</v>
      </c>
      <c r="E24" s="19">
        <f>(+E17-E20-E21)/E8*100</f>
        <v>48.31744226343336</v>
      </c>
      <c r="F24" s="19">
        <f>(+F17-F20-F21)/F8*100</f>
        <v>38.88586328679407</v>
      </c>
      <c r="G24" s="19">
        <f>(+G17-G20-G21)/G8*100</f>
        <v>33.38636078201532</v>
      </c>
    </row>
    <row r="25" spans="2:7" ht="12.75">
      <c r="B25" s="2"/>
      <c r="C25" s="10" t="s">
        <v>40</v>
      </c>
      <c r="D25" s="10" t="s">
        <v>36</v>
      </c>
      <c r="E25" s="11">
        <v>446002</v>
      </c>
      <c r="F25" s="11">
        <f>457460+9357</f>
        <v>466817</v>
      </c>
      <c r="G25" s="11">
        <f>466098+10847</f>
        <v>476945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0</v>
      </c>
    </row>
    <row r="27" spans="2:7" ht="12.75">
      <c r="B27" s="2"/>
      <c r="C27" s="10" t="s">
        <v>38</v>
      </c>
      <c r="D27" s="10" t="s">
        <v>37</v>
      </c>
      <c r="E27" s="11">
        <v>200349</v>
      </c>
      <c r="F27" s="11">
        <v>216124</v>
      </c>
      <c r="G27" s="11">
        <v>221181</v>
      </c>
    </row>
    <row r="28" spans="2:7" ht="12.75">
      <c r="B28" s="2"/>
      <c r="C28" s="10" t="s">
        <v>39</v>
      </c>
      <c r="D28" s="10" t="s">
        <v>45</v>
      </c>
      <c r="E28" s="11">
        <v>3248</v>
      </c>
      <c r="F28" s="11">
        <v>3223</v>
      </c>
      <c r="G28" s="11">
        <v>3145</v>
      </c>
    </row>
    <row r="29" spans="2:7" ht="12.75">
      <c r="B29" s="2"/>
      <c r="C29" s="10" t="s">
        <v>42</v>
      </c>
      <c r="D29" s="10" t="s">
        <v>46</v>
      </c>
      <c r="E29" s="11">
        <v>34246</v>
      </c>
      <c r="F29" s="11">
        <v>53510</v>
      </c>
      <c r="G29" s="11">
        <v>54969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4108</v>
      </c>
      <c r="G30" s="11">
        <v>3279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7" ht="12.75">
      <c r="D40" s="24" t="s">
        <v>75</v>
      </c>
      <c r="E40" s="24"/>
      <c r="F40" s="24"/>
      <c r="G40" s="24"/>
    </row>
    <row r="41" spans="4:7" ht="12.75">
      <c r="D41" s="24"/>
      <c r="E41" s="24"/>
      <c r="F41" s="24"/>
      <c r="G41" s="24"/>
    </row>
    <row r="42" spans="4:7" ht="12.75">
      <c r="D42" s="24" t="s">
        <v>76</v>
      </c>
      <c r="E42" s="24"/>
      <c r="F42" s="24"/>
      <c r="G42" s="24"/>
    </row>
    <row r="43" spans="4:7" ht="12.75">
      <c r="D43" s="24" t="s">
        <v>77</v>
      </c>
      <c r="E43" s="24"/>
      <c r="F43" s="24"/>
      <c r="G43" s="24"/>
    </row>
    <row r="44" spans="4:7" ht="12.75">
      <c r="D44" s="24"/>
      <c r="E44" s="24"/>
      <c r="F44" s="24"/>
      <c r="G44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2" ht="12.75">
      <c r="D52" t="s">
        <v>105</v>
      </c>
    </row>
    <row r="53" ht="12.75">
      <c r="D53" t="s">
        <v>106</v>
      </c>
    </row>
    <row r="54" ht="12.75">
      <c r="D54" t="s">
        <v>104</v>
      </c>
    </row>
  </sheetData>
  <printOptions/>
  <pageMargins left="0.75" right="0.75" top="1" bottom="0.21" header="0" footer="0"/>
  <pageSetup horizontalDpi="1200" verticalDpi="1200" orientation="portrait" paperSize="9" r:id="rId1"/>
  <headerFooter alignWithMargins="0">
    <oddFooter>&amp;C-11-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G54"/>
  <sheetViews>
    <sheetView workbookViewId="0" topLeftCell="B1">
      <selection activeCell="H13" sqref="H13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64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7</v>
      </c>
      <c r="F6" s="13">
        <v>9</v>
      </c>
      <c r="G6" s="13">
        <v>9</v>
      </c>
    </row>
    <row r="7" spans="3:7" ht="12.75">
      <c r="C7" s="61" t="s">
        <v>1</v>
      </c>
      <c r="D7" s="61" t="s">
        <v>10</v>
      </c>
      <c r="E7" s="11">
        <v>416779</v>
      </c>
      <c r="F7" s="11">
        <v>572501</v>
      </c>
      <c r="G7" s="11">
        <v>665930</v>
      </c>
    </row>
    <row r="8" spans="2:7" ht="12.75">
      <c r="B8" s="2">
        <v>338689</v>
      </c>
      <c r="C8" s="61" t="s">
        <v>2</v>
      </c>
      <c r="D8" s="61" t="s">
        <v>11</v>
      </c>
      <c r="E8" s="11">
        <v>378887</v>
      </c>
      <c r="F8" s="11">
        <v>437662</v>
      </c>
      <c r="G8" s="11">
        <v>536972</v>
      </c>
    </row>
    <row r="9" spans="3:7" ht="12.75">
      <c r="C9" s="61" t="s">
        <v>3</v>
      </c>
      <c r="D9" s="61" t="s">
        <v>12</v>
      </c>
      <c r="E9" s="11">
        <v>141162</v>
      </c>
      <c r="F9" s="11">
        <v>141162</v>
      </c>
      <c r="G9" s="11">
        <v>141162</v>
      </c>
    </row>
    <row r="10" spans="3:7" ht="12.75">
      <c r="C10" s="61" t="s">
        <v>4</v>
      </c>
      <c r="D10" s="61" t="s">
        <v>13</v>
      </c>
      <c r="E10" s="11">
        <v>5451</v>
      </c>
      <c r="F10" s="11">
        <v>12029</v>
      </c>
      <c r="G10" s="11">
        <v>12994</v>
      </c>
    </row>
    <row r="11" spans="3:7" ht="12.75">
      <c r="C11" s="61" t="s">
        <v>5</v>
      </c>
      <c r="D11" s="61" t="s">
        <v>14</v>
      </c>
      <c r="E11" s="11">
        <v>261327</v>
      </c>
      <c r="F11" s="11">
        <v>384870</v>
      </c>
      <c r="G11" s="11">
        <v>540988</v>
      </c>
    </row>
    <row r="12" spans="3:7" ht="12.75">
      <c r="C12" s="61" t="s">
        <v>6</v>
      </c>
      <c r="D12" s="61" t="s">
        <v>15</v>
      </c>
      <c r="E12" s="11">
        <v>10055</v>
      </c>
      <c r="F12" s="11">
        <v>32252</v>
      </c>
      <c r="G12" s="11">
        <v>114434</v>
      </c>
    </row>
    <row r="13" spans="3:7" ht="12.75">
      <c r="C13" s="61" t="s">
        <v>8</v>
      </c>
      <c r="D13" s="61" t="s">
        <v>16</v>
      </c>
      <c r="E13" s="11"/>
      <c r="F13" s="11"/>
      <c r="G13" s="11"/>
    </row>
    <row r="14" spans="3:7" ht="12.75">
      <c r="C14" s="61" t="s">
        <v>9</v>
      </c>
      <c r="D14" s="61" t="s">
        <v>17</v>
      </c>
      <c r="E14" s="20">
        <f>(+E25-E27-E28)/E6</f>
        <v>17277.85714285714</v>
      </c>
      <c r="F14" s="16">
        <f>(+F25-F27-F28)/F6</f>
        <v>19975.666666666668</v>
      </c>
      <c r="G14" s="16">
        <f>(+G25-G26-G27-G28)/G6</f>
        <v>29770.88888888889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25">
        <f>(+E12/((E8+B8)/2))*100</f>
        <v>2.802490607266687</v>
      </c>
      <c r="F16" s="25">
        <f>(+F12/((F8+E8)/2))*100</f>
        <v>7.899587165007856</v>
      </c>
      <c r="G16" s="25">
        <f>(+G12/((G8+F8)/2))*100</f>
        <v>23.482455978346746</v>
      </c>
    </row>
    <row r="17" spans="3:7" ht="12.75">
      <c r="C17" s="61" t="s">
        <v>20</v>
      </c>
      <c r="D17" s="61" t="s">
        <v>21</v>
      </c>
      <c r="E17" s="12">
        <f>SUM(E18:E19)+E21+E20</f>
        <v>27369</v>
      </c>
      <c r="F17" s="12">
        <f>SUM(F18:F19)+F21+F20</f>
        <v>125256</v>
      </c>
      <c r="G17" s="12">
        <f>SUM(G18:G19)+G21+G20</f>
        <v>119524</v>
      </c>
    </row>
    <row r="18" spans="3:7" ht="12.75">
      <c r="C18" s="61" t="s">
        <v>22</v>
      </c>
      <c r="D18" s="61" t="s">
        <v>65</v>
      </c>
      <c r="E18" s="11">
        <v>0</v>
      </c>
      <c r="F18" s="11">
        <v>56455</v>
      </c>
      <c r="G18" s="11">
        <v>42861</v>
      </c>
    </row>
    <row r="19" spans="3:7" ht="12.75" hidden="1">
      <c r="C19" s="61" t="s">
        <v>24</v>
      </c>
      <c r="D19" s="61" t="s">
        <v>25</v>
      </c>
      <c r="E19" s="11">
        <v>0</v>
      </c>
      <c r="F19" s="11">
        <v>0</v>
      </c>
      <c r="G19" s="11">
        <v>0</v>
      </c>
    </row>
    <row r="20" spans="3:7" ht="12.75">
      <c r="C20" s="61" t="s">
        <v>26</v>
      </c>
      <c r="D20" s="61" t="s">
        <v>79</v>
      </c>
      <c r="E20" s="11">
        <v>0</v>
      </c>
      <c r="F20" s="11">
        <v>0</v>
      </c>
      <c r="G20" s="11">
        <v>0</v>
      </c>
    </row>
    <row r="21" spans="3:7" ht="12.75">
      <c r="C21" s="61" t="s">
        <v>27</v>
      </c>
      <c r="D21" s="61" t="s">
        <v>28</v>
      </c>
      <c r="E21" s="11">
        <v>27369</v>
      </c>
      <c r="F21" s="11">
        <v>68801</v>
      </c>
      <c r="G21" s="11">
        <v>76663</v>
      </c>
    </row>
    <row r="22" spans="3:7" ht="12.75">
      <c r="C22" s="61" t="s">
        <v>29</v>
      </c>
      <c r="D22" s="61" t="s">
        <v>30</v>
      </c>
      <c r="E22" s="17">
        <f>(+E29-E30)/E21</f>
        <v>2.6973583251123534</v>
      </c>
      <c r="F22" s="17">
        <f>(+F29-F30)/F21</f>
        <v>1.8239269778055551</v>
      </c>
      <c r="G22" s="17">
        <f>(+G29-G30)/G21</f>
        <v>1.7574840535851715</v>
      </c>
    </row>
    <row r="23" spans="3:7" ht="12.75">
      <c r="C23" s="61" t="s">
        <v>31</v>
      </c>
      <c r="D23" s="61" t="s">
        <v>72</v>
      </c>
      <c r="E23" s="47">
        <f>(+E17-E20)/E8*100</f>
        <v>7.223525747782321</v>
      </c>
      <c r="F23" s="47">
        <f>(+F17-F20)/F8*100</f>
        <v>28.619345522343725</v>
      </c>
      <c r="G23" s="47">
        <f>(+G17-G20)/G8*100</f>
        <v>22.258888731628463</v>
      </c>
    </row>
    <row r="24" spans="3:7" ht="12.75">
      <c r="C24" s="61" t="s">
        <v>74</v>
      </c>
      <c r="D24" s="61" t="s">
        <v>73</v>
      </c>
      <c r="E24" s="19">
        <f>(+E17-E20-E21)/E8*100</f>
        <v>0</v>
      </c>
      <c r="F24" s="19">
        <f>(+F17-F20-F21)/F8*100</f>
        <v>12.899223601774887</v>
      </c>
      <c r="G24" s="19">
        <f>(+G17-G20-G21)/G8*100</f>
        <v>7.981980438458616</v>
      </c>
    </row>
    <row r="25" spans="2:7" ht="12.75">
      <c r="B25" s="2"/>
      <c r="C25" s="10" t="s">
        <v>40</v>
      </c>
      <c r="D25" s="10" t="s">
        <v>36</v>
      </c>
      <c r="E25" s="11">
        <v>257824</v>
      </c>
      <c r="F25" s="11">
        <v>375520</v>
      </c>
      <c r="G25" s="11">
        <v>535018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/>
    </row>
    <row r="27" spans="2:7" ht="12.75">
      <c r="B27" s="2"/>
      <c r="C27" s="10" t="s">
        <v>38</v>
      </c>
      <c r="D27" s="10" t="s">
        <v>37</v>
      </c>
      <c r="E27" s="11">
        <v>136879</v>
      </c>
      <c r="F27" s="11">
        <f>52339+143053</f>
        <v>195392</v>
      </c>
      <c r="G27" s="11">
        <f>69462+197484</f>
        <v>266946</v>
      </c>
    </row>
    <row r="28" spans="2:7" ht="12.75">
      <c r="B28" s="2"/>
      <c r="C28" s="10" t="s">
        <v>39</v>
      </c>
      <c r="D28" s="10" t="s">
        <v>45</v>
      </c>
      <c r="E28" s="11">
        <v>0</v>
      </c>
      <c r="F28" s="11">
        <v>347</v>
      </c>
      <c r="G28" s="11">
        <v>134</v>
      </c>
    </row>
    <row r="29" spans="2:7" ht="12.75">
      <c r="B29" s="2"/>
      <c r="C29" s="10" t="s">
        <v>42</v>
      </c>
      <c r="D29" s="10" t="s">
        <v>46</v>
      </c>
      <c r="E29" s="11">
        <v>73824</v>
      </c>
      <c r="F29" s="11">
        <v>125488</v>
      </c>
      <c r="G29" s="11">
        <v>134734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0</v>
      </c>
      <c r="G30" s="11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7" ht="12.75">
      <c r="D40" s="24" t="s">
        <v>75</v>
      </c>
      <c r="E40" s="24"/>
      <c r="F40" s="24"/>
      <c r="G40" s="24"/>
    </row>
    <row r="41" spans="4:7" ht="12.75">
      <c r="D41" s="24"/>
      <c r="E41" s="24"/>
      <c r="F41" s="24"/>
      <c r="G41" s="24"/>
    </row>
    <row r="42" spans="4:7" ht="12.75">
      <c r="D42" s="24" t="s">
        <v>76</v>
      </c>
      <c r="E42" s="24"/>
      <c r="F42" s="24"/>
      <c r="G42" s="24"/>
    </row>
    <row r="43" spans="4:7" ht="12.75">
      <c r="D43" s="24" t="s">
        <v>77</v>
      </c>
      <c r="E43" s="24"/>
      <c r="F43" s="24"/>
      <c r="G43" s="24"/>
    </row>
    <row r="44" spans="4:7" ht="12.75">
      <c r="D44" s="24"/>
      <c r="E44" s="24"/>
      <c r="F44" s="24"/>
      <c r="G44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2" ht="12.75">
      <c r="D52" t="s">
        <v>105</v>
      </c>
    </row>
    <row r="53" ht="12.75">
      <c r="D53" t="s">
        <v>106</v>
      </c>
    </row>
    <row r="54" ht="12.75">
      <c r="D54" t="s">
        <v>104</v>
      </c>
    </row>
  </sheetData>
  <printOptions/>
  <pageMargins left="0.75" right="0.75" top="1" bottom="0.18" header="0" footer="0"/>
  <pageSetup horizontalDpi="1200" verticalDpi="1200" orientation="portrait" paperSize="9" r:id="rId1"/>
  <headerFooter alignWithMargins="0">
    <oddFooter>&amp;C-22-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G59"/>
  <sheetViews>
    <sheetView workbookViewId="0" topLeftCell="B1">
      <selection activeCell="H23" sqref="H23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67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17</v>
      </c>
      <c r="F6" s="13">
        <v>17</v>
      </c>
      <c r="G6" s="13">
        <v>17</v>
      </c>
    </row>
    <row r="7" spans="3:7" ht="12.75">
      <c r="C7" s="61" t="s">
        <v>1</v>
      </c>
      <c r="D7" s="61" t="s">
        <v>10</v>
      </c>
      <c r="E7" s="11">
        <v>1518455</v>
      </c>
      <c r="F7" s="11">
        <v>1602784</v>
      </c>
      <c r="G7" s="11">
        <v>1634036</v>
      </c>
    </row>
    <row r="8" spans="2:7" ht="12.75">
      <c r="B8" s="2">
        <v>233772</v>
      </c>
      <c r="C8" s="61" t="s">
        <v>2</v>
      </c>
      <c r="D8" s="61" t="s">
        <v>11</v>
      </c>
      <c r="E8" s="11">
        <v>257683</v>
      </c>
      <c r="F8" s="11">
        <v>277069</v>
      </c>
      <c r="G8" s="11">
        <v>273393</v>
      </c>
    </row>
    <row r="9" spans="3:7" ht="12.75">
      <c r="C9" s="61" t="s">
        <v>3</v>
      </c>
      <c r="D9" s="61" t="s">
        <v>12</v>
      </c>
      <c r="E9" s="11">
        <v>70116</v>
      </c>
      <c r="F9" s="11">
        <v>70116</v>
      </c>
      <c r="G9" s="11">
        <v>70116</v>
      </c>
    </row>
    <row r="10" spans="3:7" ht="12.75">
      <c r="C10" s="61" t="s">
        <v>4</v>
      </c>
      <c r="D10" s="61" t="s">
        <v>13</v>
      </c>
      <c r="E10" s="11">
        <v>5014</v>
      </c>
      <c r="F10" s="11">
        <v>10414</v>
      </c>
      <c r="G10" s="11">
        <v>5488</v>
      </c>
    </row>
    <row r="11" spans="3:7" ht="12.75">
      <c r="C11" s="61" t="s">
        <v>5</v>
      </c>
      <c r="D11" s="61" t="s">
        <v>14</v>
      </c>
      <c r="E11" s="11">
        <f>158753+19195+3453</f>
        <v>181401</v>
      </c>
      <c r="F11" s="11">
        <f>128357+8511+6365+29199</f>
        <v>172432</v>
      </c>
      <c r="G11" s="11">
        <f>128531+84+9250+20877+24</f>
        <v>158766</v>
      </c>
    </row>
    <row r="12" spans="3:7" ht="12.75">
      <c r="C12" s="61" t="s">
        <v>6</v>
      </c>
      <c r="D12" s="61" t="s">
        <v>15</v>
      </c>
      <c r="E12" s="11">
        <v>3425</v>
      </c>
      <c r="F12" s="11">
        <v>2062</v>
      </c>
      <c r="G12" s="11">
        <v>3312</v>
      </c>
    </row>
    <row r="13" spans="3:7" ht="12.75">
      <c r="C13" s="61" t="s">
        <v>8</v>
      </c>
      <c r="D13" s="61" t="s">
        <v>16</v>
      </c>
      <c r="E13" s="11">
        <v>0</v>
      </c>
      <c r="F13" s="11">
        <v>0</v>
      </c>
      <c r="G13" s="11">
        <v>4264</v>
      </c>
    </row>
    <row r="14" spans="3:7" ht="12.75">
      <c r="C14" s="61" t="s">
        <v>9</v>
      </c>
      <c r="D14" s="61" t="s">
        <v>17</v>
      </c>
      <c r="E14" s="20">
        <f>(+E25-E27-E28)/E6</f>
        <v>4530.588235294118</v>
      </c>
      <c r="F14" s="16">
        <f>(+F25-F27-F28)/F6</f>
        <v>3333.6470588235293</v>
      </c>
      <c r="G14" s="16">
        <f>(+G25-G26-G27-G28)/G6</f>
        <v>4500.529411764706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25">
        <f>(+E12/((E8+B8)/2))*100</f>
        <v>1.3938203904731867</v>
      </c>
      <c r="F16" s="25">
        <f>(+F12/((F8+E8)/2))*100</f>
        <v>0.7711986116928968</v>
      </c>
      <c r="G16" s="25">
        <f>(+G12/((G8+F8)/2))*100</f>
        <v>1.2033528199948407</v>
      </c>
    </row>
    <row r="17" spans="3:7" ht="12.75">
      <c r="C17" s="61" t="s">
        <v>20</v>
      </c>
      <c r="D17" s="61" t="s">
        <v>21</v>
      </c>
      <c r="E17" s="12">
        <f>SUM(E18:E19)+E21</f>
        <v>1250406</v>
      </c>
      <c r="F17" s="12">
        <f>SUM(F18:F19)+F21</f>
        <v>1320555</v>
      </c>
      <c r="G17" s="12">
        <f>SUM(G18:G19)+G21</f>
        <v>1353343</v>
      </c>
    </row>
    <row r="18" spans="3:7" ht="12.75">
      <c r="C18" s="61" t="s">
        <v>22</v>
      </c>
      <c r="D18" s="61" t="s">
        <v>68</v>
      </c>
      <c r="E18" s="11">
        <v>1219188</v>
      </c>
      <c r="F18" s="11">
        <v>1275773</v>
      </c>
      <c r="G18" s="11">
        <v>1312373</v>
      </c>
    </row>
    <row r="19" spans="3:7" ht="12.75" hidden="1">
      <c r="C19" s="61" t="s">
        <v>24</v>
      </c>
      <c r="D19" s="61" t="s">
        <v>25</v>
      </c>
      <c r="E19" s="11">
        <v>0</v>
      </c>
      <c r="F19" s="11">
        <v>0</v>
      </c>
      <c r="G19" s="11">
        <v>0</v>
      </c>
    </row>
    <row r="20" spans="3:7" ht="12.75">
      <c r="C20" s="61" t="s">
        <v>26</v>
      </c>
      <c r="D20" s="61" t="s">
        <v>79</v>
      </c>
      <c r="E20" s="11">
        <v>1219188</v>
      </c>
      <c r="F20" s="11">
        <v>1275773</v>
      </c>
      <c r="G20" s="11">
        <v>1312373</v>
      </c>
    </row>
    <row r="21" spans="3:7" ht="12.75">
      <c r="C21" s="61" t="s">
        <v>27</v>
      </c>
      <c r="D21" s="61" t="s">
        <v>28</v>
      </c>
      <c r="E21" s="11">
        <v>31218</v>
      </c>
      <c r="F21" s="11">
        <v>44782</v>
      </c>
      <c r="G21" s="11">
        <v>40970</v>
      </c>
    </row>
    <row r="22" spans="3:7" ht="12.75">
      <c r="C22" s="61" t="s">
        <v>29</v>
      </c>
      <c r="D22" s="61" t="s">
        <v>30</v>
      </c>
      <c r="E22" s="17">
        <f>(+E29-E30)/E21</f>
        <v>4.480748286245115</v>
      </c>
      <c r="F22" s="17">
        <f>(+F29-F30)/F21</f>
        <v>2.9146755392791746</v>
      </c>
      <c r="G22" s="17">
        <f>(+G29-G30)/G21</f>
        <v>3.197803270685868</v>
      </c>
    </row>
    <row r="23" spans="3:7" ht="12.75">
      <c r="C23" s="61" t="s">
        <v>31</v>
      </c>
      <c r="D23" s="61" t="s">
        <v>72</v>
      </c>
      <c r="E23" s="47">
        <f>(+E17-E20)/E8*100</f>
        <v>12.114885343619875</v>
      </c>
      <c r="F23" s="47">
        <f>(+F17-F20)/F8*100</f>
        <v>16.16276090071426</v>
      </c>
      <c r="G23" s="47">
        <f>(+G17-G20)/G8*100</f>
        <v>14.985753109991842</v>
      </c>
    </row>
    <row r="24" spans="3:7" ht="12.75">
      <c r="C24" s="61" t="s">
        <v>74</v>
      </c>
      <c r="D24" s="61" t="s">
        <v>73</v>
      </c>
      <c r="E24" s="19">
        <f>(+E17-E20-E21)/E8*100</f>
        <v>0</v>
      </c>
      <c r="F24" s="19">
        <f>(+F17-F20-F21)/F8*100</f>
        <v>0</v>
      </c>
      <c r="G24" s="19">
        <f>(+G17-G20-G21)/G8*100</f>
        <v>0</v>
      </c>
    </row>
    <row r="25" spans="2:7" ht="12.75">
      <c r="B25" s="2"/>
      <c r="C25" s="10" t="s">
        <v>40</v>
      </c>
      <c r="D25" s="10" t="s">
        <v>36</v>
      </c>
      <c r="E25" s="11">
        <v>158753</v>
      </c>
      <c r="F25" s="11">
        <v>128357</v>
      </c>
      <c r="G25" s="11">
        <v>128615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0</v>
      </c>
    </row>
    <row r="27" spans="2:7" ht="12.75">
      <c r="B27" s="2"/>
      <c r="C27" s="10" t="s">
        <v>38</v>
      </c>
      <c r="D27" s="10" t="s">
        <v>37</v>
      </c>
      <c r="E27" s="11">
        <v>81161</v>
      </c>
      <c r="F27" s="11">
        <v>71513</v>
      </c>
      <c r="G27" s="11">
        <v>52012</v>
      </c>
    </row>
    <row r="28" spans="2:7" ht="12.75">
      <c r="B28" s="2"/>
      <c r="C28" s="10" t="s">
        <v>39</v>
      </c>
      <c r="D28" s="10" t="s">
        <v>45</v>
      </c>
      <c r="E28" s="11">
        <v>572</v>
      </c>
      <c r="F28" s="11">
        <v>172</v>
      </c>
      <c r="G28" s="11">
        <v>94</v>
      </c>
    </row>
    <row r="29" spans="2:7" ht="12.75">
      <c r="B29" s="2"/>
      <c r="C29" s="10" t="s">
        <v>42</v>
      </c>
      <c r="D29" s="10" t="s">
        <v>46</v>
      </c>
      <c r="E29" s="11">
        <v>139880</v>
      </c>
      <c r="F29" s="11">
        <v>130525</v>
      </c>
      <c r="G29" s="11">
        <v>131014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0</v>
      </c>
      <c r="G30" s="11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6" ht="12.75">
      <c r="D40" s="24" t="s">
        <v>75</v>
      </c>
      <c r="E40" s="24"/>
      <c r="F40" s="24"/>
    </row>
    <row r="41" spans="4:6" ht="12.75">
      <c r="D41" s="24"/>
      <c r="E41" s="24"/>
      <c r="F41" s="24"/>
    </row>
    <row r="42" spans="4:6" ht="12.75">
      <c r="D42" s="24" t="s">
        <v>76</v>
      </c>
      <c r="E42" s="24"/>
      <c r="F42" s="24"/>
    </row>
    <row r="43" spans="4:6" ht="12.75">
      <c r="D43" s="24" t="s">
        <v>77</v>
      </c>
      <c r="E43" s="24"/>
      <c r="F43" s="24"/>
    </row>
    <row r="44" spans="4:6" ht="12.75">
      <c r="D44" s="24"/>
      <c r="E44" s="24"/>
      <c r="F44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2" ht="12.75">
      <c r="D52" t="s">
        <v>90</v>
      </c>
    </row>
    <row r="53" ht="12.75">
      <c r="D53" t="s">
        <v>91</v>
      </c>
    </row>
    <row r="54" ht="12.75">
      <c r="D54" t="s">
        <v>92</v>
      </c>
    </row>
    <row r="55" ht="12.75">
      <c r="D55" t="s">
        <v>93</v>
      </c>
    </row>
    <row r="57" ht="12.75">
      <c r="D57" t="s">
        <v>105</v>
      </c>
    </row>
    <row r="58" ht="12.75">
      <c r="D58" t="s">
        <v>106</v>
      </c>
    </row>
    <row r="59" ht="12.75">
      <c r="D59" t="s">
        <v>104</v>
      </c>
    </row>
  </sheetData>
  <printOptions/>
  <pageMargins left="0.75" right="0.75" top="1" bottom="0.18" header="0" footer="0"/>
  <pageSetup horizontalDpi="1200" verticalDpi="1200" orientation="portrait" paperSize="9" r:id="rId1"/>
  <headerFooter alignWithMargins="0">
    <oddFooter>&amp;C-14-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G54"/>
  <sheetViews>
    <sheetView workbookViewId="0" topLeftCell="D1">
      <selection activeCell="H4" sqref="H4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  <col min="8" max="8" width="14.7109375" style="0" customWidth="1"/>
  </cols>
  <sheetData>
    <row r="2" ht="12.75">
      <c r="D2" t="s">
        <v>18</v>
      </c>
    </row>
    <row r="3" ht="13.5" thickBot="1">
      <c r="D3" s="39" t="s">
        <v>69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76</v>
      </c>
      <c r="F6" s="13">
        <v>77</v>
      </c>
      <c r="G6" s="13">
        <v>77</v>
      </c>
    </row>
    <row r="7" spans="3:7" ht="12.75">
      <c r="C7" s="61" t="s">
        <v>1</v>
      </c>
      <c r="D7" s="61" t="s">
        <v>10</v>
      </c>
      <c r="E7" s="11">
        <v>1892104</v>
      </c>
      <c r="F7" s="11">
        <v>2202967</v>
      </c>
      <c r="G7" s="11">
        <v>2463311</v>
      </c>
    </row>
    <row r="8" spans="2:7" ht="12.75">
      <c r="B8" s="2">
        <v>479365</v>
      </c>
      <c r="C8" s="61" t="s">
        <v>2</v>
      </c>
      <c r="D8" s="61" t="s">
        <v>11</v>
      </c>
      <c r="E8" s="11">
        <v>553244</v>
      </c>
      <c r="F8" s="11">
        <v>654580</v>
      </c>
      <c r="G8" s="11">
        <v>737410</v>
      </c>
    </row>
    <row r="9" spans="3:7" ht="12.75">
      <c r="C9" s="61" t="s">
        <v>3</v>
      </c>
      <c r="D9" s="61" t="s">
        <v>12</v>
      </c>
      <c r="E9" s="11">
        <v>221803</v>
      </c>
      <c r="F9" s="11">
        <v>221803</v>
      </c>
      <c r="G9" s="11">
        <v>221803</v>
      </c>
    </row>
    <row r="10" spans="3:7" ht="12.75">
      <c r="C10" s="61" t="s">
        <v>4</v>
      </c>
      <c r="D10" s="61" t="s">
        <v>13</v>
      </c>
      <c r="E10" s="11">
        <v>142517</v>
      </c>
      <c r="F10" s="11">
        <v>213772</v>
      </c>
      <c r="G10" s="11">
        <v>246381</v>
      </c>
    </row>
    <row r="11" spans="3:7" ht="12.75">
      <c r="C11" s="61" t="s">
        <v>5</v>
      </c>
      <c r="D11" s="61" t="s">
        <v>14</v>
      </c>
      <c r="E11" s="11">
        <f>449453+193+26986+39406</f>
        <v>516038</v>
      </c>
      <c r="F11" s="11">
        <f>548801+48+39399+54477</f>
        <v>642725</v>
      </c>
      <c r="G11" s="11">
        <f>555079+32322+73724+54890</f>
        <v>716015</v>
      </c>
    </row>
    <row r="12" spans="3:7" ht="12.75">
      <c r="C12" s="61" t="s">
        <v>6</v>
      </c>
      <c r="D12" s="61" t="s">
        <v>15</v>
      </c>
      <c r="E12" s="11">
        <v>31215</v>
      </c>
      <c r="F12" s="11">
        <v>62609</v>
      </c>
      <c r="G12" s="11">
        <v>112830</v>
      </c>
    </row>
    <row r="13" spans="3:7" ht="12.75">
      <c r="C13" s="61" t="s">
        <v>8</v>
      </c>
      <c r="D13" s="61" t="s">
        <v>16</v>
      </c>
      <c r="E13" s="11">
        <v>0</v>
      </c>
      <c r="F13" s="11">
        <v>0</v>
      </c>
      <c r="G13" s="11">
        <v>27225</v>
      </c>
    </row>
    <row r="14" spans="3:7" ht="12.75">
      <c r="C14" s="61" t="s">
        <v>9</v>
      </c>
      <c r="D14" s="61" t="s">
        <v>17</v>
      </c>
      <c r="E14" s="20">
        <f>(+E25-E27-E28)/E6</f>
        <v>4744.118421052632</v>
      </c>
      <c r="F14" s="16">
        <f>(+F25-F27-F28)/F6</f>
        <v>5407.662337662337</v>
      </c>
      <c r="G14" s="16">
        <f>(+G25-G26-G27-G28)/G6</f>
        <v>6295.285714285715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25">
        <f>(+E12/((E8+B8)/2))*100</f>
        <v>6.04585084964396</v>
      </c>
      <c r="F16" s="25">
        <f>(+F12/((F8+E8)/2))*100</f>
        <v>10.367238935474042</v>
      </c>
      <c r="G16" s="25">
        <f>(+G12/((G8+F8)/2))*100</f>
        <v>16.211323357208027</v>
      </c>
    </row>
    <row r="17" spans="3:7" ht="12.75">
      <c r="C17" s="61" t="s">
        <v>20</v>
      </c>
      <c r="D17" s="61" t="s">
        <v>21</v>
      </c>
      <c r="E17" s="12">
        <f>SUM(E18:E19)+E21+E20</f>
        <v>513507</v>
      </c>
      <c r="F17" s="12">
        <f>SUM(F18:F19)+F21+F20</f>
        <v>558389</v>
      </c>
      <c r="G17" s="12">
        <f>SUM(G18:G19)+G21+G20</f>
        <v>587484</v>
      </c>
    </row>
    <row r="18" spans="3:7" ht="12.75">
      <c r="C18" s="61" t="s">
        <v>22</v>
      </c>
      <c r="D18" s="61" t="s">
        <v>23</v>
      </c>
      <c r="E18" s="11">
        <v>0</v>
      </c>
      <c r="F18" s="11">
        <v>0</v>
      </c>
      <c r="G18" s="11">
        <v>0</v>
      </c>
    </row>
    <row r="19" spans="3:7" ht="12.75">
      <c r="C19" s="61" t="s">
        <v>24</v>
      </c>
      <c r="D19" s="61" t="s">
        <v>25</v>
      </c>
      <c r="E19" s="11">
        <v>0</v>
      </c>
      <c r="F19" s="11">
        <v>0</v>
      </c>
      <c r="G19" s="11">
        <v>0</v>
      </c>
    </row>
    <row r="20" spans="3:7" ht="12.75">
      <c r="C20" s="61" t="s">
        <v>26</v>
      </c>
      <c r="D20" s="61" t="s">
        <v>79</v>
      </c>
      <c r="E20" s="11">
        <v>0</v>
      </c>
      <c r="F20" s="11">
        <v>0</v>
      </c>
      <c r="G20" s="11">
        <v>0</v>
      </c>
    </row>
    <row r="21" spans="3:7" ht="12.75">
      <c r="C21" s="61" t="s">
        <v>27</v>
      </c>
      <c r="D21" s="61" t="s">
        <v>28</v>
      </c>
      <c r="E21" s="11">
        <v>513507</v>
      </c>
      <c r="F21" s="11">
        <v>558389</v>
      </c>
      <c r="G21" s="11">
        <v>587484</v>
      </c>
    </row>
    <row r="22" spans="3:7" ht="12.75">
      <c r="C22" s="61" t="s">
        <v>29</v>
      </c>
      <c r="D22" s="61" t="s">
        <v>30</v>
      </c>
      <c r="E22" s="17">
        <f>(+E29-E30)/E21</f>
        <v>3.1015078664945173</v>
      </c>
      <c r="F22" s="17">
        <f>(+F29-F30)/F21</f>
        <v>3.131254376429335</v>
      </c>
      <c r="G22" s="17">
        <f>(+G29-G30)/G21</f>
        <v>3.4146615056750482</v>
      </c>
    </row>
    <row r="23" spans="3:7" ht="12.75">
      <c r="C23" s="61" t="s">
        <v>31</v>
      </c>
      <c r="D23" s="61" t="s">
        <v>72</v>
      </c>
      <c r="E23" s="47">
        <f>(+E17-E20)/E8*100</f>
        <v>92.81745486620731</v>
      </c>
      <c r="F23" s="47">
        <f>(+F17-F20)/F8*100</f>
        <v>85.3049283510037</v>
      </c>
      <c r="G23" s="47">
        <f>(+G17-G20)/G8*100</f>
        <v>79.6685697237629</v>
      </c>
    </row>
    <row r="24" spans="3:7" ht="12.75">
      <c r="C24" s="61" t="s">
        <v>74</v>
      </c>
      <c r="D24" s="61" t="s">
        <v>73</v>
      </c>
      <c r="E24" s="19">
        <f>(+E17-E20-E21)/E8*100</f>
        <v>0</v>
      </c>
      <c r="F24" s="19">
        <f>(+F17-F20-F21)/F8*100</f>
        <v>0</v>
      </c>
      <c r="G24" s="19">
        <f>(+G17-G20-G21)/G8*100</f>
        <v>0</v>
      </c>
    </row>
    <row r="25" spans="2:7" ht="12.75">
      <c r="B25" s="2"/>
      <c r="C25" s="10" t="s">
        <v>40</v>
      </c>
      <c r="D25" s="10" t="s">
        <v>36</v>
      </c>
      <c r="E25" s="11">
        <v>449453</v>
      </c>
      <c r="F25" s="11">
        <f>548801+48</f>
        <v>548849</v>
      </c>
      <c r="G25" s="11">
        <f>555079+32322</f>
        <v>587401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0</v>
      </c>
    </row>
    <row r="27" spans="2:7" ht="12.75">
      <c r="B27" s="2"/>
      <c r="C27" s="10" t="s">
        <v>38</v>
      </c>
      <c r="D27" s="10" t="s">
        <v>37</v>
      </c>
      <c r="E27" s="11">
        <v>80612</v>
      </c>
      <c r="F27" s="11">
        <v>123222</v>
      </c>
      <c r="G27" s="11">
        <v>93138</v>
      </c>
    </row>
    <row r="28" spans="2:7" ht="12.75">
      <c r="B28" s="2"/>
      <c r="C28" s="10" t="s">
        <v>39</v>
      </c>
      <c r="D28" s="10" t="s">
        <v>45</v>
      </c>
      <c r="E28" s="11">
        <v>8288</v>
      </c>
      <c r="F28" s="11">
        <v>9237</v>
      </c>
      <c r="G28" s="11">
        <v>9526</v>
      </c>
    </row>
    <row r="29" spans="2:7" ht="12.75">
      <c r="B29" s="2"/>
      <c r="C29" s="10" t="s">
        <v>42</v>
      </c>
      <c r="D29" s="10" t="s">
        <v>46</v>
      </c>
      <c r="E29" s="11">
        <v>1597909</v>
      </c>
      <c r="F29" s="11">
        <v>1752224</v>
      </c>
      <c r="G29" s="11">
        <v>2009356</v>
      </c>
    </row>
    <row r="30" spans="2:7" ht="12.75">
      <c r="B30" s="2"/>
      <c r="C30" s="10" t="s">
        <v>43</v>
      </c>
      <c r="D30" s="10" t="s">
        <v>47</v>
      </c>
      <c r="E30" s="11">
        <v>5263</v>
      </c>
      <c r="F30" s="11">
        <v>3766</v>
      </c>
      <c r="G30" s="11">
        <v>3297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5" ht="12.75">
      <c r="D40" s="24" t="s">
        <v>75</v>
      </c>
      <c r="E40" s="24"/>
    </row>
    <row r="41" spans="4:5" ht="12.75">
      <c r="D41" s="24"/>
      <c r="E41" s="24"/>
    </row>
    <row r="42" spans="4:5" ht="12.75">
      <c r="D42" s="24" t="s">
        <v>76</v>
      </c>
      <c r="E42" s="24"/>
    </row>
    <row r="43" spans="4:5" ht="12.75">
      <c r="D43" s="24" t="s">
        <v>77</v>
      </c>
      <c r="E43" s="24"/>
    </row>
    <row r="44" spans="4:5" ht="12.75">
      <c r="D44" s="24"/>
      <c r="E44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2" ht="12.75">
      <c r="D52" t="s">
        <v>105</v>
      </c>
    </row>
    <row r="53" ht="12.75">
      <c r="D53" t="s">
        <v>106</v>
      </c>
    </row>
    <row r="54" ht="12.75">
      <c r="D54" t="s">
        <v>104</v>
      </c>
    </row>
  </sheetData>
  <printOptions/>
  <pageMargins left="0.75" right="0.75" top="1" bottom="0.21" header="0" footer="0"/>
  <pageSetup horizontalDpi="1200" verticalDpi="1200" orientation="portrait" paperSize="9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G57"/>
  <sheetViews>
    <sheetView workbookViewId="0" topLeftCell="B1">
      <selection activeCell="H25" sqref="H25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70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13</v>
      </c>
      <c r="F6" s="13">
        <v>14</v>
      </c>
      <c r="G6" s="13">
        <v>13</v>
      </c>
    </row>
    <row r="7" spans="3:7" ht="12.75">
      <c r="C7" s="61" t="s">
        <v>1</v>
      </c>
      <c r="D7" s="61" t="s">
        <v>10</v>
      </c>
      <c r="E7" s="11">
        <v>354477</v>
      </c>
      <c r="F7" s="11">
        <v>384181</v>
      </c>
      <c r="G7" s="11">
        <v>392095</v>
      </c>
    </row>
    <row r="8" spans="2:7" ht="12.75">
      <c r="B8" s="2">
        <v>212276</v>
      </c>
      <c r="C8" s="61" t="s">
        <v>2</v>
      </c>
      <c r="D8" s="61" t="s">
        <v>11</v>
      </c>
      <c r="E8" s="11">
        <v>233157</v>
      </c>
      <c r="F8" s="11">
        <v>247050</v>
      </c>
      <c r="G8" s="11">
        <v>247955</v>
      </c>
    </row>
    <row r="9" spans="3:7" ht="12.75">
      <c r="C9" s="61" t="s">
        <v>3</v>
      </c>
      <c r="D9" s="61" t="s">
        <v>12</v>
      </c>
      <c r="E9" s="11">
        <v>63264</v>
      </c>
      <c r="F9" s="11">
        <v>63264</v>
      </c>
      <c r="G9" s="11">
        <v>63264</v>
      </c>
    </row>
    <row r="10" spans="3:7" ht="12.75">
      <c r="C10" s="61" t="s">
        <v>4</v>
      </c>
      <c r="D10" s="61" t="s">
        <v>13</v>
      </c>
      <c r="E10" s="11">
        <v>36968</v>
      </c>
      <c r="F10" s="11">
        <v>50888</v>
      </c>
      <c r="G10" s="11">
        <v>48461</v>
      </c>
    </row>
    <row r="11" spans="3:7" ht="12.75">
      <c r="C11" s="61" t="s">
        <v>5</v>
      </c>
      <c r="D11" s="61" t="s">
        <v>14</v>
      </c>
      <c r="E11" s="11">
        <v>135924</v>
      </c>
      <c r="F11" s="11">
        <v>127015</v>
      </c>
      <c r="G11" s="11">
        <v>137774</v>
      </c>
    </row>
    <row r="12" spans="3:7" ht="12.75">
      <c r="C12" s="61" t="s">
        <v>6</v>
      </c>
      <c r="D12" s="61" t="s">
        <v>15</v>
      </c>
      <c r="E12" s="11">
        <v>1989</v>
      </c>
      <c r="F12" s="26">
        <v>-2427</v>
      </c>
      <c r="G12" s="11">
        <v>3269</v>
      </c>
    </row>
    <row r="13" spans="3:7" ht="12.75">
      <c r="C13" s="61" t="s">
        <v>8</v>
      </c>
      <c r="D13" s="61" t="s">
        <v>16</v>
      </c>
      <c r="E13" s="11"/>
      <c r="F13" s="11"/>
      <c r="G13" s="11"/>
    </row>
    <row r="14" spans="3:7" ht="12.75">
      <c r="C14" s="61" t="s">
        <v>9</v>
      </c>
      <c r="D14" s="61" t="s">
        <v>17</v>
      </c>
      <c r="E14" s="20">
        <f>(+E25-E27-E28)/E6</f>
        <v>6167.076923076923</v>
      </c>
      <c r="F14" s="16">
        <f>(+F25-F27-F28)/F6</f>
        <v>5688.428571428572</v>
      </c>
      <c r="G14" s="16">
        <f>(+G25-G26-G27-G28)/G6</f>
        <v>7010.384615384615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25">
        <f>(+E12/((E8+B8)/2))*100</f>
        <v>0.8930636032804036</v>
      </c>
      <c r="F16" s="38">
        <f>(+F12/((F8+E8)/2))*100</f>
        <v>-1.010814086425229</v>
      </c>
      <c r="G16" s="25">
        <f>(+G12/((G8+F8)/2))*100</f>
        <v>1.3207947394470763</v>
      </c>
    </row>
    <row r="17" spans="3:7" ht="12.75">
      <c r="C17" s="61" t="s">
        <v>20</v>
      </c>
      <c r="D17" s="61" t="s">
        <v>21</v>
      </c>
      <c r="E17" s="12">
        <f>SUM(E18:E19)+E21</f>
        <v>121081</v>
      </c>
      <c r="F17" s="12">
        <f>SUM(F18:F19)+F21</f>
        <v>136893</v>
      </c>
      <c r="G17" s="12">
        <f>SUM(G18:G19)+G21</f>
        <v>143787</v>
      </c>
    </row>
    <row r="18" spans="3:7" ht="12.75">
      <c r="C18" s="61" t="s">
        <v>22</v>
      </c>
      <c r="D18" s="61" t="s">
        <v>23</v>
      </c>
      <c r="E18" s="11">
        <v>0</v>
      </c>
      <c r="F18" s="11">
        <v>0</v>
      </c>
      <c r="G18" s="11">
        <v>0</v>
      </c>
    </row>
    <row r="19" spans="3:7" ht="12.75">
      <c r="C19" s="61" t="s">
        <v>24</v>
      </c>
      <c r="D19" s="61" t="s">
        <v>25</v>
      </c>
      <c r="E19" s="11">
        <v>112519</v>
      </c>
      <c r="F19" s="11">
        <v>127825</v>
      </c>
      <c r="G19" s="11">
        <v>135603</v>
      </c>
    </row>
    <row r="20" spans="3:7" ht="12.75">
      <c r="C20" s="61" t="s">
        <v>26</v>
      </c>
      <c r="D20" s="61" t="s">
        <v>79</v>
      </c>
      <c r="E20" s="11">
        <v>112519</v>
      </c>
      <c r="F20" s="11">
        <v>127825</v>
      </c>
      <c r="G20" s="11">
        <v>135603</v>
      </c>
    </row>
    <row r="21" spans="3:7" ht="12.75">
      <c r="C21" s="61" t="s">
        <v>27</v>
      </c>
      <c r="D21" s="61" t="s">
        <v>28</v>
      </c>
      <c r="E21" s="11">
        <v>8562</v>
      </c>
      <c r="F21" s="11">
        <v>9068</v>
      </c>
      <c r="G21" s="11">
        <v>8184</v>
      </c>
    </row>
    <row r="22" spans="3:7" ht="12.75">
      <c r="C22" s="61" t="s">
        <v>29</v>
      </c>
      <c r="D22" s="61" t="s">
        <v>30</v>
      </c>
      <c r="E22" s="17">
        <f>(+E29-E30)/E21</f>
        <v>3.5242933893950013</v>
      </c>
      <c r="F22" s="17">
        <f>(+F29-F30)/F21</f>
        <v>4.016651962946625</v>
      </c>
      <c r="G22" s="17">
        <f>(+G29-G30)/G21</f>
        <v>5.680474095796677</v>
      </c>
    </row>
    <row r="23" spans="3:7" ht="12.75">
      <c r="C23" s="61" t="s">
        <v>31</v>
      </c>
      <c r="D23" s="61" t="s">
        <v>72</v>
      </c>
      <c r="E23" s="47">
        <f>(+E17-E20)/E8*100</f>
        <v>3.6722037082309344</v>
      </c>
      <c r="F23" s="47">
        <f>(+F17-F20)/F8*100</f>
        <v>3.6705120420967416</v>
      </c>
      <c r="G23" s="47">
        <f>(+G17-G20)/G8*100</f>
        <v>3.3005988989937687</v>
      </c>
    </row>
    <row r="24" spans="3:7" ht="12.75">
      <c r="C24" s="61" t="s">
        <v>74</v>
      </c>
      <c r="D24" s="61" t="s">
        <v>73</v>
      </c>
      <c r="E24" s="19">
        <f>(+E17-E20-E21)/E8*100</f>
        <v>0</v>
      </c>
      <c r="F24" s="19">
        <f>(+F17-F20-F21)/F8*100</f>
        <v>0</v>
      </c>
      <c r="G24" s="19">
        <f>(+G17-G20-G21)/G8*100</f>
        <v>0</v>
      </c>
    </row>
    <row r="25" spans="2:7" ht="12.75">
      <c r="B25" s="2"/>
      <c r="C25" s="10" t="s">
        <v>40</v>
      </c>
      <c r="D25" s="10" t="s">
        <v>36</v>
      </c>
      <c r="E25" s="11">
        <v>127460</v>
      </c>
      <c r="F25" s="11">
        <v>126514</v>
      </c>
      <c r="G25" s="11">
        <v>135020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/>
    </row>
    <row r="27" spans="2:7" ht="12.75">
      <c r="B27" s="2"/>
      <c r="C27" s="10" t="s">
        <v>38</v>
      </c>
      <c r="D27" s="10" t="s">
        <v>37</v>
      </c>
      <c r="E27" s="11">
        <v>38196</v>
      </c>
      <c r="F27" s="11">
        <v>36325</v>
      </c>
      <c r="G27" s="11">
        <v>30162</v>
      </c>
    </row>
    <row r="28" spans="2:7" ht="12.75">
      <c r="B28" s="2"/>
      <c r="C28" s="10" t="s">
        <v>39</v>
      </c>
      <c r="D28" s="10" t="s">
        <v>45</v>
      </c>
      <c r="E28" s="11">
        <v>9092</v>
      </c>
      <c r="F28" s="11">
        <v>10551</v>
      </c>
      <c r="G28" s="11">
        <v>13723</v>
      </c>
    </row>
    <row r="29" spans="2:7" ht="12.75">
      <c r="B29" s="2"/>
      <c r="C29" s="10" t="s">
        <v>42</v>
      </c>
      <c r="D29" s="10" t="s">
        <v>46</v>
      </c>
      <c r="E29" s="11">
        <v>30175</v>
      </c>
      <c r="F29" s="11">
        <v>36423</v>
      </c>
      <c r="G29" s="11">
        <v>46489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0</v>
      </c>
      <c r="G30" s="11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7" ht="12.75">
      <c r="D40" s="24" t="s">
        <v>75</v>
      </c>
      <c r="E40" s="24"/>
      <c r="F40" s="24"/>
      <c r="G40" s="24"/>
    </row>
    <row r="41" spans="4:7" ht="12.75">
      <c r="D41" s="24"/>
      <c r="E41" s="24"/>
      <c r="F41" s="24"/>
      <c r="G41" s="24"/>
    </row>
    <row r="42" spans="4:7" ht="12.75">
      <c r="D42" s="24" t="s">
        <v>76</v>
      </c>
      <c r="E42" s="24"/>
      <c r="F42" s="24"/>
      <c r="G42" s="24"/>
    </row>
    <row r="43" spans="4:7" ht="12.75">
      <c r="D43" s="24" t="s">
        <v>77</v>
      </c>
      <c r="E43" s="24"/>
      <c r="F43" s="24"/>
      <c r="G43" s="24"/>
    </row>
    <row r="44" spans="4:7" ht="12.75">
      <c r="D44" s="24"/>
      <c r="E44" s="24"/>
      <c r="F44" s="24"/>
      <c r="G44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spans="4:7" ht="12.75">
      <c r="D48" t="s">
        <v>84</v>
      </c>
      <c r="E48" s="24"/>
      <c r="F48" s="24"/>
      <c r="G48" s="24"/>
    </row>
    <row r="49" spans="4:7" ht="12.75">
      <c r="D49" s="24" t="s">
        <v>85</v>
      </c>
      <c r="E49" s="24"/>
      <c r="F49" s="24"/>
      <c r="G49" s="24"/>
    </row>
    <row r="50" spans="4:7" ht="12.75">
      <c r="D50" t="s">
        <v>108</v>
      </c>
      <c r="E50" s="24"/>
      <c r="F50" s="24"/>
      <c r="G50" s="24"/>
    </row>
    <row r="51" spans="5:7" ht="12.75">
      <c r="E51" s="58" t="s">
        <v>7</v>
      </c>
      <c r="F51" s="58" t="s">
        <v>7</v>
      </c>
      <c r="G51" s="58" t="s">
        <v>7</v>
      </c>
    </row>
    <row r="52" spans="5:7" ht="12.75">
      <c r="E52" s="58">
        <v>1997</v>
      </c>
      <c r="F52" s="58">
        <v>1998</v>
      </c>
      <c r="G52" s="58">
        <v>1999</v>
      </c>
    </row>
    <row r="53" spans="4:7" ht="12.75">
      <c r="D53" s="29" t="s">
        <v>16</v>
      </c>
      <c r="E53" s="59">
        <v>26950</v>
      </c>
      <c r="F53" s="59">
        <v>22539</v>
      </c>
      <c r="G53" s="59">
        <v>12000</v>
      </c>
    </row>
    <row r="54" ht="12.75">
      <c r="D54" s="29"/>
    </row>
    <row r="55" ht="12.75">
      <c r="D55" t="s">
        <v>105</v>
      </c>
    </row>
    <row r="56" ht="12.75">
      <c r="D56" t="s">
        <v>106</v>
      </c>
    </row>
    <row r="57" ht="12.75">
      <c r="D57" t="s">
        <v>104</v>
      </c>
    </row>
  </sheetData>
  <printOptions/>
  <pageMargins left="0.75" right="0.75" top="1" bottom="0.21" header="0" footer="0"/>
  <pageSetup horizontalDpi="1200" verticalDpi="1200" orientation="portrait" paperSize="9" r:id="rId1"/>
  <headerFooter alignWithMargins="0">
    <oddFooter>&amp;C-7-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I46"/>
  <sheetViews>
    <sheetView workbookViewId="0" topLeftCell="A41">
      <selection activeCell="A5" sqref="A5"/>
    </sheetView>
  </sheetViews>
  <sheetFormatPr defaultColWidth="9.140625" defaultRowHeight="12.75"/>
  <sheetData>
    <row r="4" ht="15.75">
      <c r="F4" s="48" t="s">
        <v>63</v>
      </c>
    </row>
    <row r="5" spans="1:3" ht="23.25">
      <c r="A5" s="49" t="s">
        <v>112</v>
      </c>
      <c r="B5" s="49"/>
      <c r="C5" s="49"/>
    </row>
    <row r="18" spans="4:8" ht="23.25">
      <c r="D18" s="50" t="s">
        <v>101</v>
      </c>
      <c r="E18" s="51"/>
      <c r="F18" s="51"/>
      <c r="G18" s="51"/>
      <c r="H18" s="52"/>
    </row>
    <row r="19" spans="4:8" ht="23.25">
      <c r="D19" s="51"/>
      <c r="E19" s="51" t="s">
        <v>111</v>
      </c>
      <c r="F19" s="51"/>
      <c r="G19" s="51"/>
      <c r="H19" s="52"/>
    </row>
    <row r="20" spans="4:8" ht="23.25">
      <c r="D20" s="52"/>
      <c r="E20" s="53"/>
      <c r="F20" s="52"/>
      <c r="G20" s="52"/>
      <c r="H20" s="52"/>
    </row>
    <row r="21" spans="5:8" ht="23.25">
      <c r="E21" s="54">
        <v>2000</v>
      </c>
      <c r="F21" s="53" t="s">
        <v>96</v>
      </c>
      <c r="G21" s="54">
        <v>2002</v>
      </c>
      <c r="H21" s="52"/>
    </row>
    <row r="36" spans="7:9" ht="15">
      <c r="G36" s="55"/>
      <c r="H36" s="55" t="s">
        <v>97</v>
      </c>
      <c r="I36" s="55"/>
    </row>
    <row r="37" spans="7:9" ht="15">
      <c r="G37" s="55" t="s">
        <v>98</v>
      </c>
      <c r="H37" s="55"/>
      <c r="I37" s="55"/>
    </row>
    <row r="38" spans="7:9" ht="15">
      <c r="G38" s="55" t="s">
        <v>99</v>
      </c>
      <c r="H38" s="55"/>
      <c r="I38" s="55"/>
    </row>
    <row r="40" spans="4:7" ht="12.75">
      <c r="D40" s="56"/>
      <c r="G40" t="s">
        <v>100</v>
      </c>
    </row>
    <row r="41" ht="12.75">
      <c r="G41" t="s">
        <v>103</v>
      </c>
    </row>
    <row r="42" ht="12.75">
      <c r="G42" t="s">
        <v>102</v>
      </c>
    </row>
    <row r="46" ht="12.75">
      <c r="C46" s="56" t="s">
        <v>109</v>
      </c>
    </row>
  </sheetData>
  <printOptions/>
  <pageMargins left="0.75" right="0.75" top="1" bottom="1" header="0" footer="0"/>
  <pageSetup horizontalDpi="1200" verticalDpi="12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55"/>
  <sheetViews>
    <sheetView workbookViewId="0" topLeftCell="D1">
      <selection activeCell="H19" sqref="H19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107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60</v>
      </c>
      <c r="F6" s="13">
        <v>58</v>
      </c>
      <c r="G6" s="30">
        <v>58</v>
      </c>
    </row>
    <row r="7" spans="3:7" ht="12.75">
      <c r="C7" s="61" t="s">
        <v>1</v>
      </c>
      <c r="D7" s="61" t="s">
        <v>10</v>
      </c>
      <c r="E7" s="11">
        <v>1807293</v>
      </c>
      <c r="F7" s="11">
        <v>1976435</v>
      </c>
      <c r="G7" s="11">
        <v>2094950</v>
      </c>
    </row>
    <row r="8" spans="2:7" ht="12.75">
      <c r="B8" s="2">
        <v>314597</v>
      </c>
      <c r="C8" s="61" t="s">
        <v>2</v>
      </c>
      <c r="D8" s="61" t="s">
        <v>11</v>
      </c>
      <c r="E8" s="11">
        <v>344729</v>
      </c>
      <c r="F8" s="11">
        <v>391422</v>
      </c>
      <c r="G8" s="11">
        <v>404566</v>
      </c>
    </row>
    <row r="9" spans="3:7" ht="12.75">
      <c r="C9" s="61" t="s">
        <v>3</v>
      </c>
      <c r="D9" s="61" t="s">
        <v>12</v>
      </c>
      <c r="E9" s="11">
        <v>242300</v>
      </c>
      <c r="F9" s="11">
        <v>242300</v>
      </c>
      <c r="G9" s="11">
        <v>242300</v>
      </c>
    </row>
    <row r="10" spans="3:7" ht="12.75">
      <c r="C10" s="61" t="s">
        <v>4</v>
      </c>
      <c r="D10" s="61" t="s">
        <v>13</v>
      </c>
      <c r="E10" s="11">
        <v>28558</v>
      </c>
      <c r="F10" s="11">
        <v>30693</v>
      </c>
      <c r="G10" s="11">
        <v>22561</v>
      </c>
    </row>
    <row r="11" spans="3:7" ht="12.75">
      <c r="C11" s="61" t="s">
        <v>5</v>
      </c>
      <c r="D11" s="61" t="s">
        <v>14</v>
      </c>
      <c r="E11" s="11">
        <v>1098366</v>
      </c>
      <c r="F11" s="11">
        <v>1356929</v>
      </c>
      <c r="G11" s="11">
        <f>1242702+1775+38246+54195</f>
        <v>1336918</v>
      </c>
    </row>
    <row r="12" spans="3:7" ht="12.75">
      <c r="C12" s="61" t="s">
        <v>6</v>
      </c>
      <c r="D12" s="61" t="s">
        <v>15</v>
      </c>
      <c r="E12" s="11">
        <v>2134</v>
      </c>
      <c r="F12" s="11">
        <v>22561</v>
      </c>
      <c r="G12" s="11">
        <v>49715</v>
      </c>
    </row>
    <row r="13" spans="3:7" ht="12.75">
      <c r="C13" s="61" t="s">
        <v>8</v>
      </c>
      <c r="D13" s="61" t="s">
        <v>16</v>
      </c>
      <c r="E13" s="11">
        <v>0</v>
      </c>
      <c r="F13" s="11">
        <v>0</v>
      </c>
      <c r="G13" s="11">
        <v>36570</v>
      </c>
    </row>
    <row r="14" spans="3:7" ht="12.75">
      <c r="C14" s="61" t="s">
        <v>9</v>
      </c>
      <c r="D14" s="61" t="s">
        <v>17</v>
      </c>
      <c r="E14" s="20">
        <f>(+E25-E27-E28)/E6</f>
        <v>5398.266666666666</v>
      </c>
      <c r="F14" s="16">
        <f>(+F25-F27-F28)/F6</f>
        <v>6437.3448275862065</v>
      </c>
      <c r="G14" s="16">
        <f>(+G25-G26-G27-G28)/G6</f>
        <v>6881.724137931034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25">
        <f>(+E12/((E8+B8)/2))*100</f>
        <v>0.6473277255864323</v>
      </c>
      <c r="F16" s="25">
        <f>(+F12/((F8+E8)/2))*100</f>
        <v>6.1294489853304555</v>
      </c>
      <c r="G16" s="25">
        <f>(+G12/((G8+F8)/2))*100</f>
        <v>12.491394342628281</v>
      </c>
    </row>
    <row r="17" spans="3:7" ht="12.75">
      <c r="C17" s="61" t="s">
        <v>20</v>
      </c>
      <c r="D17" s="61" t="s">
        <v>21</v>
      </c>
      <c r="E17" s="12">
        <f>SUM(E18:E19)+E21</f>
        <v>1460772</v>
      </c>
      <c r="F17" s="12">
        <f>SUM(F18:F19)+F21</f>
        <v>1583320</v>
      </c>
      <c r="G17" s="12">
        <f>SUM(G18:G19)+G21</f>
        <v>1689183</v>
      </c>
    </row>
    <row r="18" spans="3:7" ht="12.75">
      <c r="C18" s="61" t="s">
        <v>22</v>
      </c>
      <c r="D18" s="61" t="s">
        <v>23</v>
      </c>
      <c r="E18" s="11">
        <v>0</v>
      </c>
      <c r="F18" s="11">
        <v>0</v>
      </c>
      <c r="G18" s="11">
        <v>0</v>
      </c>
    </row>
    <row r="19" spans="3:7" ht="12.75">
      <c r="C19" s="61" t="s">
        <v>24</v>
      </c>
      <c r="D19" s="61" t="s">
        <v>25</v>
      </c>
      <c r="E19" s="11">
        <v>1314463</v>
      </c>
      <c r="F19" s="11">
        <v>1420534</v>
      </c>
      <c r="G19" s="11">
        <v>1538776</v>
      </c>
    </row>
    <row r="20" spans="3:7" ht="12.75">
      <c r="C20" s="61" t="s">
        <v>26</v>
      </c>
      <c r="D20" s="61" t="s">
        <v>79</v>
      </c>
      <c r="E20" s="11">
        <v>1314463</v>
      </c>
      <c r="F20" s="11">
        <v>1420534</v>
      </c>
      <c r="G20" s="11">
        <v>1538776</v>
      </c>
    </row>
    <row r="21" spans="3:7" ht="12.75">
      <c r="C21" s="61" t="s">
        <v>27</v>
      </c>
      <c r="D21" s="61" t="s">
        <v>28</v>
      </c>
      <c r="E21" s="11">
        <v>146309</v>
      </c>
      <c r="F21" s="11">
        <v>162786</v>
      </c>
      <c r="G21" s="11">
        <v>150407</v>
      </c>
    </row>
    <row r="22" spans="3:7" ht="12.75">
      <c r="C22" s="61" t="s">
        <v>29</v>
      </c>
      <c r="D22" s="61" t="s">
        <v>30</v>
      </c>
      <c r="E22" s="17">
        <f>(+E29-E30)/E21</f>
        <v>3.1217423398423882</v>
      </c>
      <c r="F22" s="17">
        <f>(+F29-F30)/F21</f>
        <v>2.9177509122406105</v>
      </c>
      <c r="G22" s="17">
        <f>(+G29-G30)/G21</f>
        <v>2.8777782948931896</v>
      </c>
    </row>
    <row r="23" spans="3:7" ht="12.75">
      <c r="C23" s="61" t="s">
        <v>31</v>
      </c>
      <c r="D23" s="61" t="s">
        <v>72</v>
      </c>
      <c r="E23" s="47">
        <f>(+E17-E20)/E8*100</f>
        <v>42.44174409463666</v>
      </c>
      <c r="F23" s="47">
        <f>(+F17-F20)/F8*100</f>
        <v>41.588362432362004</v>
      </c>
      <c r="G23" s="47">
        <f>(+G17-G20)/G8*100</f>
        <v>37.17737031782206</v>
      </c>
    </row>
    <row r="24" spans="3:7" ht="12.75">
      <c r="C24" s="61" t="s">
        <v>74</v>
      </c>
      <c r="D24" s="61" t="s">
        <v>73</v>
      </c>
      <c r="E24" s="19">
        <f>(+E17-E20-E21)/E8*100</f>
        <v>0</v>
      </c>
      <c r="F24" s="19">
        <f>(+F17-F20-F21)/F8*100</f>
        <v>0</v>
      </c>
      <c r="G24" s="19">
        <f>(+G17-G20-G21)/G8*100</f>
        <v>0</v>
      </c>
    </row>
    <row r="25" spans="2:7" ht="12.75">
      <c r="B25" s="2"/>
      <c r="C25" s="10" t="s">
        <v>40</v>
      </c>
      <c r="D25" s="10" t="s">
        <v>36</v>
      </c>
      <c r="E25" s="11">
        <v>1035418</v>
      </c>
      <c r="F25" s="11">
        <v>1272621</v>
      </c>
      <c r="G25" s="11">
        <f>1242702+1775</f>
        <v>1244477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0</v>
      </c>
    </row>
    <row r="27" spans="2:7" ht="12.75">
      <c r="B27" s="2"/>
      <c r="C27" s="10" t="s">
        <v>38</v>
      </c>
      <c r="D27" s="10" t="s">
        <v>37</v>
      </c>
      <c r="E27" s="11">
        <v>706034</v>
      </c>
      <c r="F27" s="11">
        <v>893784</v>
      </c>
      <c r="G27" s="11">
        <v>839074</v>
      </c>
    </row>
    <row r="28" spans="2:7" ht="12.75">
      <c r="B28" s="2"/>
      <c r="C28" s="10" t="s">
        <v>39</v>
      </c>
      <c r="D28" s="10" t="s">
        <v>45</v>
      </c>
      <c r="E28" s="11">
        <v>5488</v>
      </c>
      <c r="F28" s="11">
        <v>5471</v>
      </c>
      <c r="G28" s="11">
        <v>6263</v>
      </c>
    </row>
    <row r="29" spans="2:7" ht="12.75">
      <c r="B29" s="2"/>
      <c r="C29" s="10" t="s">
        <v>42</v>
      </c>
      <c r="D29" s="10" t="s">
        <v>46</v>
      </c>
      <c r="E29" s="11">
        <v>456739</v>
      </c>
      <c r="F29" s="11">
        <v>495027</v>
      </c>
      <c r="G29" s="11">
        <v>451534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20058</v>
      </c>
      <c r="G30" s="11">
        <v>18696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6" ht="12.75">
      <c r="D40" s="24" t="s">
        <v>75</v>
      </c>
      <c r="E40" s="24"/>
      <c r="F40" s="24"/>
    </row>
    <row r="41" spans="4:6" ht="12.75">
      <c r="D41" s="24"/>
      <c r="E41" s="24"/>
      <c r="F41" s="24"/>
    </row>
    <row r="42" spans="4:6" ht="12.75">
      <c r="D42" s="24" t="s">
        <v>76</v>
      </c>
      <c r="E42" s="24"/>
      <c r="F42" s="24"/>
    </row>
    <row r="43" spans="4:6" ht="12.75">
      <c r="D43" s="24" t="s">
        <v>77</v>
      </c>
      <c r="E43" s="24"/>
      <c r="F43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8" ht="12.75">
      <c r="D48" t="s">
        <v>84</v>
      </c>
    </row>
    <row r="49" ht="12.75">
      <c r="D49" s="24" t="s">
        <v>85</v>
      </c>
    </row>
    <row r="50" ht="12.75">
      <c r="D50" t="s">
        <v>83</v>
      </c>
    </row>
    <row r="52" ht="12.75">
      <c r="D52" t="s">
        <v>105</v>
      </c>
    </row>
    <row r="53" ht="12.75">
      <c r="D53" t="s">
        <v>106</v>
      </c>
    </row>
    <row r="54" ht="12.75">
      <c r="D54" t="s">
        <v>104</v>
      </c>
    </row>
    <row r="55" spans="4:7" ht="12.75">
      <c r="D55" s="24"/>
      <c r="E55" s="24"/>
      <c r="F55" s="24"/>
      <c r="G55" s="24"/>
    </row>
  </sheetData>
  <printOptions/>
  <pageMargins left="0.75" right="0.75" top="1" bottom="0.18" header="0" footer="0"/>
  <pageSetup horizontalDpi="1200" verticalDpi="1200" orientation="portrait" paperSize="9" r:id="rId1"/>
  <headerFooter alignWithMargins="0">
    <oddFooter>&amp;C-6-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G54"/>
  <sheetViews>
    <sheetView workbookViewId="0" topLeftCell="D1">
      <selection activeCell="H13" sqref="H13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71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11</v>
      </c>
      <c r="F6" s="13">
        <v>12</v>
      </c>
      <c r="G6" s="13">
        <v>12</v>
      </c>
    </row>
    <row r="7" spans="3:7" ht="12.75">
      <c r="C7" s="61" t="s">
        <v>1</v>
      </c>
      <c r="D7" s="61" t="s">
        <v>10</v>
      </c>
      <c r="E7" s="11">
        <v>1404762</v>
      </c>
      <c r="F7" s="11">
        <v>1899600</v>
      </c>
      <c r="G7" s="11">
        <v>2063950</v>
      </c>
    </row>
    <row r="8" spans="2:7" ht="12.75">
      <c r="B8" s="2">
        <v>3801</v>
      </c>
      <c r="C8" s="61" t="s">
        <v>2</v>
      </c>
      <c r="D8" s="61" t="s">
        <v>11</v>
      </c>
      <c r="E8" s="11">
        <v>11763</v>
      </c>
      <c r="F8" s="11">
        <v>47671</v>
      </c>
      <c r="G8" s="11">
        <v>44095</v>
      </c>
    </row>
    <row r="9" spans="3:7" ht="12.75">
      <c r="C9" s="61" t="s">
        <v>3</v>
      </c>
      <c r="D9" s="61" t="s">
        <v>12</v>
      </c>
      <c r="E9" s="11">
        <v>5482</v>
      </c>
      <c r="F9" s="11">
        <v>5482</v>
      </c>
      <c r="G9" s="11">
        <v>5482</v>
      </c>
    </row>
    <row r="10" spans="3:7" ht="12.75">
      <c r="C10" s="61" t="s">
        <v>4</v>
      </c>
      <c r="D10" s="61" t="s">
        <v>13</v>
      </c>
      <c r="E10" s="11">
        <v>0</v>
      </c>
      <c r="F10" s="11">
        <v>0</v>
      </c>
      <c r="G10" s="11">
        <v>0</v>
      </c>
    </row>
    <row r="11" spans="3:7" ht="12.75">
      <c r="C11" s="61" t="s">
        <v>5</v>
      </c>
      <c r="D11" s="61" t="s">
        <v>14</v>
      </c>
      <c r="E11" s="11">
        <v>148670</v>
      </c>
      <c r="F11" s="11">
        <v>256424</v>
      </c>
      <c r="G11" s="11">
        <v>196492</v>
      </c>
    </row>
    <row r="12" spans="3:7" ht="12.75">
      <c r="C12" s="61" t="s">
        <v>6</v>
      </c>
      <c r="D12" s="61" t="s">
        <v>15</v>
      </c>
      <c r="E12" s="11">
        <v>5061</v>
      </c>
      <c r="F12" s="11">
        <v>35222</v>
      </c>
      <c r="G12" s="11">
        <v>23992</v>
      </c>
    </row>
    <row r="13" spans="3:7" ht="12.75">
      <c r="C13" s="61" t="s">
        <v>8</v>
      </c>
      <c r="D13" s="61" t="s">
        <v>16</v>
      </c>
      <c r="E13" s="11"/>
      <c r="F13" s="11"/>
      <c r="G13" s="11"/>
    </row>
    <row r="14" spans="3:7" ht="12.75">
      <c r="C14" s="61" t="s">
        <v>9</v>
      </c>
      <c r="D14" s="61" t="s">
        <v>17</v>
      </c>
      <c r="E14" s="20">
        <f>(+E25-E27-E28)/E6</f>
        <v>5958.363636363636</v>
      </c>
      <c r="F14" s="16">
        <f>(+F25-F27-F28)/F6</f>
        <v>8496.916666666666</v>
      </c>
      <c r="G14" s="16">
        <f>(+G25-G26-G27-G28)/G6</f>
        <v>8158.833333333333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25">
        <f>(+E12/((E8+B8)/2))*100</f>
        <v>65.03469545104086</v>
      </c>
      <c r="F16" s="25">
        <f>(+F12/((F8+E8)/2))*100</f>
        <v>118.52475014301578</v>
      </c>
      <c r="G16" s="25">
        <f>(+G12/((G8+F8)/2))*100</f>
        <v>52.2895189939629</v>
      </c>
    </row>
    <row r="17" spans="3:7" ht="12.75">
      <c r="C17" s="61" t="s">
        <v>20</v>
      </c>
      <c r="D17" s="61" t="s">
        <v>21</v>
      </c>
      <c r="E17" s="12">
        <f>SUM(E18:E19)+E21+E20</f>
        <v>57904</v>
      </c>
      <c r="F17" s="12">
        <f>SUM(F18:F19)+F21+F20</f>
        <v>226570</v>
      </c>
      <c r="G17" s="12">
        <f>SUM(G18:G19)+G21+G20</f>
        <v>166692</v>
      </c>
    </row>
    <row r="18" spans="3:7" ht="12.75">
      <c r="C18" s="61" t="s">
        <v>22</v>
      </c>
      <c r="D18" s="61" t="s">
        <v>23</v>
      </c>
      <c r="E18" s="11">
        <v>0</v>
      </c>
      <c r="F18" s="11">
        <v>0</v>
      </c>
      <c r="G18" s="11">
        <v>0</v>
      </c>
    </row>
    <row r="19" spans="3:7" ht="12.75">
      <c r="C19" s="61" t="s">
        <v>24</v>
      </c>
      <c r="D19" s="61" t="s">
        <v>25</v>
      </c>
      <c r="E19" s="11">
        <v>0</v>
      </c>
      <c r="F19" s="11">
        <v>0</v>
      </c>
      <c r="G19" s="11">
        <v>0</v>
      </c>
    </row>
    <row r="20" spans="3:7" ht="12.75">
      <c r="C20" s="61" t="s">
        <v>26</v>
      </c>
      <c r="D20" s="61" t="s">
        <v>79</v>
      </c>
      <c r="E20" s="11">
        <v>0</v>
      </c>
      <c r="F20" s="11">
        <v>0</v>
      </c>
      <c r="G20" s="11">
        <v>0</v>
      </c>
    </row>
    <row r="21" spans="3:7" ht="12.75">
      <c r="C21" s="61" t="s">
        <v>27</v>
      </c>
      <c r="D21" s="61" t="s">
        <v>28</v>
      </c>
      <c r="E21" s="11">
        <v>57904</v>
      </c>
      <c r="F21" s="11">
        <v>226570</v>
      </c>
      <c r="G21" s="11">
        <v>166692</v>
      </c>
    </row>
    <row r="22" spans="3:7" ht="12.75">
      <c r="C22" s="61" t="s">
        <v>29</v>
      </c>
      <c r="D22" s="61" t="s">
        <v>30</v>
      </c>
      <c r="E22" s="17">
        <f>(+E29-E30)/E21</f>
        <v>1.1986218568665377</v>
      </c>
      <c r="F22" s="17">
        <f>(+F29-F30)/F21</f>
        <v>1.2140045019199364</v>
      </c>
      <c r="G22" s="17">
        <f>(+G29-G30)/G21</f>
        <v>1.26932306289444</v>
      </c>
    </row>
    <row r="23" spans="3:7" ht="12.75">
      <c r="C23" s="61" t="s">
        <v>31</v>
      </c>
      <c r="D23" s="61" t="s">
        <v>72</v>
      </c>
      <c r="E23" s="47">
        <f>(+E17-E20)/E8*100</f>
        <v>492.25537702966926</v>
      </c>
      <c r="F23" s="47">
        <f>(+F17-F20)/F8*100</f>
        <v>475.278471187934</v>
      </c>
      <c r="G23" s="47">
        <f>(+G17-G20)/G8*100</f>
        <v>378.0292550175757</v>
      </c>
    </row>
    <row r="24" spans="3:7" ht="12.75">
      <c r="C24" s="61" t="s">
        <v>74</v>
      </c>
      <c r="D24" s="61" t="s">
        <v>73</v>
      </c>
      <c r="E24" s="19">
        <f>(+E17-E20-E21)/E8*100</f>
        <v>0</v>
      </c>
      <c r="F24" s="19">
        <f>(+F17-F20-F21)/F8*100</f>
        <v>0</v>
      </c>
      <c r="G24" s="19">
        <f>(+G17-G20-G21)/G8*100</f>
        <v>0</v>
      </c>
    </row>
    <row r="25" spans="2:7" ht="12.75">
      <c r="B25" s="2"/>
      <c r="C25" s="10" t="s">
        <v>40</v>
      </c>
      <c r="D25" s="10" t="s">
        <v>36</v>
      </c>
      <c r="E25" s="11">
        <v>146935</v>
      </c>
      <c r="F25" s="11">
        <v>245715</v>
      </c>
      <c r="G25" s="11">
        <v>184207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0</v>
      </c>
    </row>
    <row r="27" spans="2:7" ht="12.75">
      <c r="B27" s="2"/>
      <c r="C27" s="10" t="s">
        <v>38</v>
      </c>
      <c r="D27" s="10" t="s">
        <v>37</v>
      </c>
      <c r="E27" s="11">
        <v>71957</v>
      </c>
      <c r="F27" s="11">
        <v>134059</v>
      </c>
      <c r="G27" s="11">
        <v>77970</v>
      </c>
    </row>
    <row r="28" spans="2:7" ht="12.75">
      <c r="B28" s="2"/>
      <c r="C28" s="10" t="s">
        <v>39</v>
      </c>
      <c r="D28" s="10" t="s">
        <v>45</v>
      </c>
      <c r="E28" s="11">
        <v>9436</v>
      </c>
      <c r="F28" s="11">
        <v>9693</v>
      </c>
      <c r="G28" s="11">
        <v>8331</v>
      </c>
    </row>
    <row r="29" spans="2:7" ht="12.75">
      <c r="B29" s="2"/>
      <c r="C29" s="10" t="s">
        <v>42</v>
      </c>
      <c r="D29" s="10" t="s">
        <v>46</v>
      </c>
      <c r="E29" s="11">
        <v>69405</v>
      </c>
      <c r="F29" s="11">
        <v>275057</v>
      </c>
      <c r="G29" s="11">
        <v>211586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0</v>
      </c>
      <c r="G30" s="11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6" ht="12.75">
      <c r="D40" s="24" t="s">
        <v>75</v>
      </c>
      <c r="E40" s="24"/>
      <c r="F40" s="24"/>
    </row>
    <row r="41" spans="4:6" ht="12.75">
      <c r="D41" s="24"/>
      <c r="E41" s="24"/>
      <c r="F41" s="24"/>
    </row>
    <row r="42" spans="4:6" ht="12.75">
      <c r="D42" s="24" t="s">
        <v>76</v>
      </c>
      <c r="E42" s="24"/>
      <c r="F42" s="24"/>
    </row>
    <row r="43" spans="4:6" ht="12.75">
      <c r="D43" s="24" t="s">
        <v>77</v>
      </c>
      <c r="E43" s="24"/>
      <c r="F43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8" spans="4:6" ht="12.75">
      <c r="D48" t="s">
        <v>84</v>
      </c>
      <c r="E48" s="24"/>
      <c r="F48" s="24"/>
    </row>
    <row r="49" ht="12.75">
      <c r="D49" s="24" t="s">
        <v>85</v>
      </c>
    </row>
    <row r="50" ht="12.75">
      <c r="D50" t="s">
        <v>83</v>
      </c>
    </row>
    <row r="52" ht="12.75">
      <c r="D52" t="s">
        <v>105</v>
      </c>
    </row>
    <row r="53" ht="12.75">
      <c r="D53" t="s">
        <v>106</v>
      </c>
    </row>
    <row r="54" ht="12.75">
      <c r="D54" t="s">
        <v>104</v>
      </c>
    </row>
  </sheetData>
  <printOptions/>
  <pageMargins left="0.75" right="0.75" top="1" bottom="0.21" header="0" footer="0"/>
  <pageSetup horizontalDpi="1200" verticalDpi="1200" orientation="portrait" paperSize="9" r:id="rId1"/>
  <headerFooter alignWithMargins="0">
    <oddFooter>&amp;C-4-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G54"/>
  <sheetViews>
    <sheetView workbookViewId="0" topLeftCell="B1">
      <selection activeCell="H24" sqref="H24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66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3</v>
      </c>
      <c r="F6" s="13">
        <v>0</v>
      </c>
      <c r="G6" s="13">
        <v>0</v>
      </c>
    </row>
    <row r="7" spans="3:7" ht="12.75">
      <c r="C7" s="61" t="s">
        <v>1</v>
      </c>
      <c r="D7" s="61" t="s">
        <v>10</v>
      </c>
      <c r="E7" s="11">
        <v>64794</v>
      </c>
      <c r="F7" s="11">
        <v>0</v>
      </c>
      <c r="G7" s="11">
        <v>0</v>
      </c>
    </row>
    <row r="8" spans="2:7" ht="12.75">
      <c r="B8" s="2">
        <v>2088</v>
      </c>
      <c r="C8" s="61" t="s">
        <v>2</v>
      </c>
      <c r="D8" s="61" t="s">
        <v>11</v>
      </c>
      <c r="E8" s="26">
        <v>-101778</v>
      </c>
      <c r="F8" s="11">
        <v>0</v>
      </c>
      <c r="G8" s="11">
        <v>0</v>
      </c>
    </row>
    <row r="9" spans="3:7" ht="12.75">
      <c r="C9" s="61" t="s">
        <v>3</v>
      </c>
      <c r="D9" s="61" t="s">
        <v>12</v>
      </c>
      <c r="E9" s="11">
        <v>1117978</v>
      </c>
      <c r="F9" s="11">
        <v>0</v>
      </c>
      <c r="G9" s="11">
        <v>0</v>
      </c>
    </row>
    <row r="10" spans="3:7" ht="12.75">
      <c r="C10" s="61" t="s">
        <v>4</v>
      </c>
      <c r="D10" s="61" t="s">
        <v>13</v>
      </c>
      <c r="E10" s="11">
        <v>1190706</v>
      </c>
      <c r="F10" s="11">
        <v>0</v>
      </c>
      <c r="G10" s="11">
        <v>0</v>
      </c>
    </row>
    <row r="11" spans="3:7" ht="12.75">
      <c r="C11" s="61" t="s">
        <v>5</v>
      </c>
      <c r="D11" s="61" t="s">
        <v>14</v>
      </c>
      <c r="E11" s="11">
        <v>57774</v>
      </c>
      <c r="F11" s="11">
        <v>0</v>
      </c>
      <c r="G11" s="11">
        <v>0</v>
      </c>
    </row>
    <row r="12" spans="3:7" ht="12.75">
      <c r="C12" s="61" t="s">
        <v>6</v>
      </c>
      <c r="D12" s="61" t="s">
        <v>15</v>
      </c>
      <c r="E12" s="26">
        <v>-104052</v>
      </c>
      <c r="F12" s="11">
        <v>0</v>
      </c>
      <c r="G12" s="11">
        <v>0</v>
      </c>
    </row>
    <row r="13" spans="3:7" ht="12.75">
      <c r="C13" s="61" t="s">
        <v>8</v>
      </c>
      <c r="D13" s="61" t="s">
        <v>16</v>
      </c>
      <c r="E13" s="26"/>
      <c r="F13" s="11"/>
      <c r="G13" s="11"/>
    </row>
    <row r="14" spans="3:7" ht="12.75">
      <c r="C14" s="61" t="s">
        <v>9</v>
      </c>
      <c r="D14" s="61" t="s">
        <v>17</v>
      </c>
      <c r="E14" s="46">
        <f>(+E25-E27-E28)/E6</f>
        <v>-6564</v>
      </c>
      <c r="F14" s="16" t="e">
        <f>(+F25-F27-F28)/F6</f>
        <v>#DIV/0!</v>
      </c>
      <c r="G14" s="16" t="e">
        <f>(+G25-G26-G27-G28)/G6</f>
        <v>#DIV/0!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25">
        <f>(+E12/((E8+B8)/2))*100</f>
        <v>208.75112849834485</v>
      </c>
      <c r="F16" s="25">
        <f>(+F12/((F8+E8)/2))*100</f>
        <v>0</v>
      </c>
      <c r="G16" s="25" t="e">
        <f>(+G12/((G8+F8)/2))*100</f>
        <v>#DIV/0!</v>
      </c>
    </row>
    <row r="17" spans="3:7" ht="12.75">
      <c r="C17" s="61" t="s">
        <v>20</v>
      </c>
      <c r="D17" s="61" t="s">
        <v>21</v>
      </c>
      <c r="E17" s="12">
        <f>SUM(E18:E19)+E21+E20</f>
        <v>167202</v>
      </c>
      <c r="F17" s="12">
        <f>SUM(F18:F19)+F21+F20</f>
        <v>0</v>
      </c>
      <c r="G17" s="12">
        <f>SUM(G18:G19)+G21+G20</f>
        <v>0</v>
      </c>
    </row>
    <row r="18" spans="3:7" ht="12.75">
      <c r="C18" s="61" t="s">
        <v>22</v>
      </c>
      <c r="D18" s="61" t="s">
        <v>23</v>
      </c>
      <c r="E18" s="11">
        <v>39924</v>
      </c>
      <c r="F18" s="11">
        <v>0</v>
      </c>
      <c r="G18" s="11">
        <v>0</v>
      </c>
    </row>
    <row r="19" spans="3:7" ht="12.75">
      <c r="C19" s="61" t="s">
        <v>24</v>
      </c>
      <c r="D19" s="61" t="s">
        <v>25</v>
      </c>
      <c r="E19" s="11">
        <v>0</v>
      </c>
      <c r="F19" s="11">
        <v>0</v>
      </c>
      <c r="G19" s="11">
        <v>0</v>
      </c>
    </row>
    <row r="20" spans="3:7" ht="12.75">
      <c r="C20" s="61" t="s">
        <v>26</v>
      </c>
      <c r="D20" s="61" t="s">
        <v>79</v>
      </c>
      <c r="E20" s="11">
        <v>0</v>
      </c>
      <c r="F20" s="11">
        <v>0</v>
      </c>
      <c r="G20" s="11">
        <v>0</v>
      </c>
    </row>
    <row r="21" spans="3:7" ht="12.75">
      <c r="C21" s="61" t="s">
        <v>27</v>
      </c>
      <c r="D21" s="61" t="s">
        <v>28</v>
      </c>
      <c r="E21" s="11">
        <v>127278</v>
      </c>
      <c r="F21" s="11">
        <v>0</v>
      </c>
      <c r="G21" s="11">
        <v>0</v>
      </c>
    </row>
    <row r="22" spans="3:7" ht="12.75">
      <c r="C22" s="61" t="s">
        <v>29</v>
      </c>
      <c r="D22" s="61" t="s">
        <v>30</v>
      </c>
      <c r="E22" s="17">
        <f>(+E29-E30)/E21</f>
        <v>0.5090746240512893</v>
      </c>
      <c r="F22" s="17" t="e">
        <f>(+F29-F30)/F21</f>
        <v>#DIV/0!</v>
      </c>
      <c r="G22" s="17" t="e">
        <f>(+G29-G30)/G21</f>
        <v>#DIV/0!</v>
      </c>
    </row>
    <row r="23" spans="3:7" ht="12.75">
      <c r="C23" s="61" t="s">
        <v>31</v>
      </c>
      <c r="D23" s="61" t="s">
        <v>72</v>
      </c>
      <c r="E23" s="45">
        <f>(+E17-E20)/E8*100</f>
        <v>-164.2810823557154</v>
      </c>
      <c r="F23" s="19" t="e">
        <f>(+F17-F20)/F8*100</f>
        <v>#DIV/0!</v>
      </c>
      <c r="G23" s="19" t="e">
        <f>(+G17-G20)/G8*100</f>
        <v>#DIV/0!</v>
      </c>
    </row>
    <row r="24" spans="3:7" ht="12.75">
      <c r="C24" s="61" t="s">
        <v>74</v>
      </c>
      <c r="D24" s="61" t="s">
        <v>73</v>
      </c>
      <c r="E24" s="45">
        <f>(+E17-E20-E21)/E8*100</f>
        <v>-39.2265519070919</v>
      </c>
      <c r="F24" s="19" t="e">
        <f>(+F17-F20-F21)/F8*100</f>
        <v>#DIV/0!</v>
      </c>
      <c r="G24" s="19" t="e">
        <f>(+G17-G20-G21)/G8*100</f>
        <v>#DIV/0!</v>
      </c>
    </row>
    <row r="25" spans="2:7" ht="12.75">
      <c r="B25" s="2"/>
      <c r="C25" s="10" t="s">
        <v>40</v>
      </c>
      <c r="D25" s="10" t="s">
        <v>36</v>
      </c>
      <c r="E25" s="11">
        <v>17259</v>
      </c>
      <c r="F25" s="11">
        <v>0</v>
      </c>
      <c r="G25" s="11">
        <v>0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0</v>
      </c>
    </row>
    <row r="27" spans="2:7" ht="12.75">
      <c r="B27" s="2"/>
      <c r="C27" s="10" t="s">
        <v>38</v>
      </c>
      <c r="D27" s="10" t="s">
        <v>37</v>
      </c>
      <c r="E27" s="11">
        <v>36171</v>
      </c>
      <c r="F27" s="11">
        <v>0</v>
      </c>
      <c r="G27" s="11">
        <v>0</v>
      </c>
    </row>
    <row r="28" spans="2:7" ht="12.75">
      <c r="B28" s="2"/>
      <c r="C28" s="10" t="s">
        <v>39</v>
      </c>
      <c r="D28" s="10" t="s">
        <v>45</v>
      </c>
      <c r="E28" s="11">
        <v>780</v>
      </c>
      <c r="F28" s="11">
        <v>0</v>
      </c>
      <c r="G28" s="11">
        <v>0</v>
      </c>
    </row>
    <row r="29" spans="2:7" ht="12.75">
      <c r="B29" s="2"/>
      <c r="C29" s="10" t="s">
        <v>42</v>
      </c>
      <c r="D29" s="10" t="s">
        <v>46</v>
      </c>
      <c r="E29" s="11">
        <v>64794</v>
      </c>
      <c r="F29" s="11">
        <v>0</v>
      </c>
      <c r="G29" s="11">
        <v>0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0</v>
      </c>
      <c r="G30" s="11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5" ht="12.75">
      <c r="D40" s="24" t="s">
        <v>75</v>
      </c>
      <c r="E40" s="24"/>
    </row>
    <row r="41" spans="4:5" ht="12.75">
      <c r="D41" s="24"/>
      <c r="E41" s="24"/>
    </row>
    <row r="42" spans="4:5" ht="12.75">
      <c r="D42" s="24" t="s">
        <v>76</v>
      </c>
      <c r="E42" s="24"/>
    </row>
    <row r="43" spans="4:5" ht="12.75">
      <c r="D43" s="24" t="s">
        <v>77</v>
      </c>
      <c r="E43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8" spans="4:6" ht="12.75">
      <c r="D48" t="s">
        <v>84</v>
      </c>
      <c r="E48" s="24"/>
      <c r="F48" s="24"/>
    </row>
    <row r="49" ht="12.75">
      <c r="D49" s="24" t="s">
        <v>85</v>
      </c>
    </row>
    <row r="50" ht="12.75">
      <c r="D50" t="s">
        <v>83</v>
      </c>
    </row>
    <row r="52" ht="12.75">
      <c r="D52" t="s">
        <v>105</v>
      </c>
    </row>
    <row r="53" ht="12.75">
      <c r="D53" t="s">
        <v>106</v>
      </c>
    </row>
    <row r="54" ht="12.75">
      <c r="D54" t="s">
        <v>104</v>
      </c>
    </row>
  </sheetData>
  <printOptions/>
  <pageMargins left="0.75" right="0.75" top="1" bottom="0.23" header="0" footer="0"/>
  <pageSetup horizontalDpi="1200" verticalDpi="1200" orientation="portrait" paperSize="9" r:id="rId1"/>
  <headerFooter alignWithMargins="0">
    <oddFooter>&amp;C-18-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2:J57"/>
  <sheetViews>
    <sheetView workbookViewId="0" topLeftCell="C1">
      <selection activeCell="H21" sqref="H21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78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143</v>
      </c>
      <c r="F6" s="13">
        <v>142</v>
      </c>
      <c r="G6" s="13">
        <v>142</v>
      </c>
    </row>
    <row r="7" spans="3:7" ht="12.75">
      <c r="C7" s="61" t="s">
        <v>1</v>
      </c>
      <c r="D7" s="61" t="s">
        <v>10</v>
      </c>
      <c r="E7" s="11">
        <v>5743743</v>
      </c>
      <c r="F7" s="11">
        <v>6105204</v>
      </c>
      <c r="G7" s="11">
        <v>6426926</v>
      </c>
    </row>
    <row r="8" spans="2:7" ht="12.75">
      <c r="B8" s="2">
        <v>1488103</v>
      </c>
      <c r="C8" s="61" t="s">
        <v>2</v>
      </c>
      <c r="D8" s="61" t="s">
        <v>11</v>
      </c>
      <c r="E8" s="11">
        <v>1700985</v>
      </c>
      <c r="F8" s="11">
        <v>1952713</v>
      </c>
      <c r="G8" s="11">
        <v>2129044</v>
      </c>
    </row>
    <row r="9" spans="3:7" ht="12.75">
      <c r="C9" s="61" t="s">
        <v>3</v>
      </c>
      <c r="D9" s="61" t="s">
        <v>12</v>
      </c>
      <c r="E9" s="11">
        <v>329085</v>
      </c>
      <c r="F9" s="11">
        <v>329085</v>
      </c>
      <c r="G9" s="11">
        <v>329085</v>
      </c>
    </row>
    <row r="10" spans="3:7" ht="12.75">
      <c r="C10" s="61" t="s">
        <v>4</v>
      </c>
      <c r="D10" s="61" t="s">
        <v>13</v>
      </c>
      <c r="E10" s="11">
        <v>168641</v>
      </c>
      <c r="F10" s="11">
        <v>0</v>
      </c>
      <c r="G10" s="11">
        <v>0</v>
      </c>
    </row>
    <row r="11" spans="3:7" ht="12.75">
      <c r="C11" s="61" t="s">
        <v>5</v>
      </c>
      <c r="D11" s="61" t="s">
        <v>14</v>
      </c>
      <c r="E11" s="11">
        <f>3934361-5130+109028+35056+77873</f>
        <v>4151188</v>
      </c>
      <c r="F11" s="11">
        <f>4586103+9260+83726+91190+95227+766</f>
        <v>4866272</v>
      </c>
      <c r="G11" s="11">
        <f>4420689-9556+44322+90491+104211+2090</f>
        <v>4652247</v>
      </c>
    </row>
    <row r="12" spans="3:7" ht="12.75">
      <c r="C12" s="61" t="s">
        <v>6</v>
      </c>
      <c r="D12" s="61" t="s">
        <v>15</v>
      </c>
      <c r="E12" s="11">
        <v>80441</v>
      </c>
      <c r="F12" s="11">
        <v>132659</v>
      </c>
      <c r="G12" s="11">
        <v>176331</v>
      </c>
    </row>
    <row r="13" spans="3:7" ht="12.75">
      <c r="C13" s="61" t="s">
        <v>8</v>
      </c>
      <c r="D13" s="61" t="s">
        <v>16</v>
      </c>
      <c r="E13" s="11"/>
      <c r="F13" s="11"/>
      <c r="G13" s="11"/>
    </row>
    <row r="14" spans="3:7" ht="12.75">
      <c r="C14" s="61" t="s">
        <v>9</v>
      </c>
      <c r="D14" s="61" t="s">
        <v>17</v>
      </c>
      <c r="E14" s="20">
        <f>(+E25-E27-E28)/E6</f>
        <v>7810.181818181818</v>
      </c>
      <c r="F14" s="16">
        <f>(+F25-F27-F28)/F6</f>
        <v>8345.232394366198</v>
      </c>
      <c r="G14" s="16">
        <f>(+G25-G26-G27-G28)/G6</f>
        <v>9185.971830985916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25">
        <f>(+E12/((E8+B8)/2))*100</f>
        <v>5.044765149158631</v>
      </c>
      <c r="F16" s="25">
        <f>(+F12/((F8+E8)/2))*100</f>
        <v>7.261629176795674</v>
      </c>
      <c r="G16" s="25">
        <f>(+G12/((G8+F8)/2))*100</f>
        <v>8.639955783747048</v>
      </c>
    </row>
    <row r="17" spans="3:7" ht="12.75">
      <c r="C17" s="61" t="s">
        <v>20</v>
      </c>
      <c r="D17" s="61" t="s">
        <v>21</v>
      </c>
      <c r="E17" s="12">
        <f>SUM(E18:E19)+E21</f>
        <v>3745483</v>
      </c>
      <c r="F17" s="12">
        <f>SUM(F18:F19)+F21</f>
        <v>3889423</v>
      </c>
      <c r="G17" s="12">
        <f>SUM(G18:G19)+G21</f>
        <v>4081171</v>
      </c>
    </row>
    <row r="18" spans="3:10" ht="12.75">
      <c r="C18" s="61" t="s">
        <v>22</v>
      </c>
      <c r="D18" s="61" t="s">
        <v>23</v>
      </c>
      <c r="E18" s="11">
        <v>42753</v>
      </c>
      <c r="F18" s="11">
        <v>371842</v>
      </c>
      <c r="G18" s="11">
        <v>264934</v>
      </c>
      <c r="H18" s="21"/>
      <c r="I18" s="21"/>
      <c r="J18" s="21"/>
    </row>
    <row r="19" spans="3:10" ht="12.75">
      <c r="C19" s="61" t="s">
        <v>24</v>
      </c>
      <c r="D19" s="61" t="s">
        <v>25</v>
      </c>
      <c r="E19" s="11">
        <f>433805+E20</f>
        <v>2679371</v>
      </c>
      <c r="F19" s="11">
        <f>2499056+129515</f>
        <v>2628571</v>
      </c>
      <c r="G19" s="11">
        <v>2850609</v>
      </c>
      <c r="H19" s="21"/>
      <c r="I19" s="21"/>
      <c r="J19" s="21"/>
    </row>
    <row r="20" spans="3:7" ht="12.75">
      <c r="C20" s="61" t="s">
        <v>26</v>
      </c>
      <c r="D20" s="61" t="s">
        <v>53</v>
      </c>
      <c r="E20" s="11">
        <f>2127168+118398</f>
        <v>2245566</v>
      </c>
      <c r="F20" s="11">
        <f>2499056+129515</f>
        <v>2628571</v>
      </c>
      <c r="G20" s="11">
        <v>2850609</v>
      </c>
    </row>
    <row r="21" spans="3:7" ht="12.75">
      <c r="C21" s="61" t="s">
        <v>27</v>
      </c>
      <c r="D21" s="61" t="s">
        <v>28</v>
      </c>
      <c r="E21" s="11">
        <f>232064+791295</f>
        <v>1023359</v>
      </c>
      <c r="F21" s="11">
        <f>307175+581835</f>
        <v>889010</v>
      </c>
      <c r="G21" s="11">
        <f>284177+681451</f>
        <v>965628</v>
      </c>
    </row>
    <row r="22" spans="3:7" ht="12.75">
      <c r="C22" s="61" t="s">
        <v>29</v>
      </c>
      <c r="D22" s="61" t="s">
        <v>30</v>
      </c>
      <c r="E22" s="17">
        <f>(+E29-E30)/E21</f>
        <v>1.2114106584297397</v>
      </c>
      <c r="F22" s="17">
        <f>(+F29-F30)/F21</f>
        <v>1.402156331199874</v>
      </c>
      <c r="G22" s="17">
        <f>(+G29-G30)/G21</f>
        <v>1.1421996876644007</v>
      </c>
    </row>
    <row r="23" spans="3:7" ht="12.75">
      <c r="C23" s="61" t="s">
        <v>31</v>
      </c>
      <c r="D23" s="61" t="s">
        <v>72</v>
      </c>
      <c r="E23" s="47">
        <f>(+E17-E20)/E8*100</f>
        <v>88.1793196295088</v>
      </c>
      <c r="F23" s="47">
        <f>(+F17-F20)/F8*100</f>
        <v>64.56924289437312</v>
      </c>
      <c r="G23" s="47">
        <f>(+G17-G20)/G8*100</f>
        <v>57.79880547325467</v>
      </c>
    </row>
    <row r="24" spans="3:7" ht="12.75">
      <c r="C24" s="61" t="s">
        <v>74</v>
      </c>
      <c r="D24" s="61" t="s">
        <v>73</v>
      </c>
      <c r="E24" s="19">
        <f>(+E17-E20-E21)/E8*100</f>
        <v>28.016590387334396</v>
      </c>
      <c r="F24" s="19">
        <f>(+F17-F20-F21)/F8*100</f>
        <v>19.04232726468252</v>
      </c>
      <c r="G24" s="19">
        <f>(+G17-G20-G21)/G8*100</f>
        <v>12.443801067521386</v>
      </c>
    </row>
    <row r="25" spans="2:8" ht="12.75">
      <c r="B25" s="2"/>
      <c r="C25" s="10" t="s">
        <v>40</v>
      </c>
      <c r="D25" s="10" t="s">
        <v>36</v>
      </c>
      <c r="E25" s="11">
        <f>3934361-5130+109028</f>
        <v>4038259</v>
      </c>
      <c r="F25" s="11">
        <f>4586103+9260+83726+91190</f>
        <v>4770279</v>
      </c>
      <c r="G25" s="11">
        <f>4420689-9556+44322+90491</f>
        <v>4545946</v>
      </c>
      <c r="H25" s="18"/>
    </row>
    <row r="26" spans="2:7" ht="12.75">
      <c r="B26" s="2"/>
      <c r="C26" s="10" t="s">
        <v>41</v>
      </c>
      <c r="D26" s="10" t="s">
        <v>48</v>
      </c>
      <c r="E26" s="26">
        <v>-5130</v>
      </c>
      <c r="F26" s="26">
        <v>9260</v>
      </c>
      <c r="G26" s="26">
        <v>-9556</v>
      </c>
    </row>
    <row r="27" spans="2:7" ht="12.75">
      <c r="B27" s="2"/>
      <c r="C27" s="10" t="s">
        <v>38</v>
      </c>
      <c r="D27" s="10" t="s">
        <v>37</v>
      </c>
      <c r="E27" s="11">
        <v>2846545</v>
      </c>
      <c r="F27" s="11">
        <v>3312060</v>
      </c>
      <c r="G27" s="11">
        <v>2989130</v>
      </c>
    </row>
    <row r="28" spans="2:7" ht="12.75">
      <c r="B28" s="2"/>
      <c r="C28" s="10" t="s">
        <v>39</v>
      </c>
      <c r="D28" s="10" t="s">
        <v>45</v>
      </c>
      <c r="E28" s="11">
        <v>74858</v>
      </c>
      <c r="F28" s="11">
        <v>273196</v>
      </c>
      <c r="G28" s="11">
        <v>261964</v>
      </c>
    </row>
    <row r="29" spans="2:7" ht="12.75">
      <c r="B29" s="2"/>
      <c r="C29" s="10" t="s">
        <v>42</v>
      </c>
      <c r="D29" s="10" t="s">
        <v>46</v>
      </c>
      <c r="E29" s="11">
        <v>1264764</v>
      </c>
      <c r="F29" s="11">
        <v>1274616</v>
      </c>
      <c r="G29" s="11">
        <v>1123472</v>
      </c>
    </row>
    <row r="30" spans="2:7" ht="12.75">
      <c r="B30" s="2"/>
      <c r="C30" s="10" t="s">
        <v>43</v>
      </c>
      <c r="D30" s="10" t="s">
        <v>47</v>
      </c>
      <c r="E30" s="11">
        <v>25056</v>
      </c>
      <c r="F30" s="11">
        <v>28085</v>
      </c>
      <c r="G30" s="11">
        <v>20532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ht="12.75">
      <c r="D40" s="24" t="s">
        <v>75</v>
      </c>
    </row>
    <row r="42" spans="4:5" ht="12.75">
      <c r="D42" s="24" t="s">
        <v>76</v>
      </c>
      <c r="E42" s="24"/>
    </row>
    <row r="43" spans="4:5" ht="12.75">
      <c r="D43" s="24" t="s">
        <v>77</v>
      </c>
      <c r="E43" s="24"/>
    </row>
    <row r="44" spans="4:5" ht="12.75">
      <c r="D44" s="24"/>
      <c r="E44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8" ht="12.75">
      <c r="D48" t="s">
        <v>84</v>
      </c>
    </row>
    <row r="49" spans="4:6" ht="12.75">
      <c r="D49" s="24" t="s">
        <v>85</v>
      </c>
      <c r="E49" s="24"/>
      <c r="F49" s="24"/>
    </row>
    <row r="50" ht="12.75">
      <c r="D50" t="s">
        <v>83</v>
      </c>
    </row>
    <row r="51" spans="5:7" ht="12.75">
      <c r="E51" s="58" t="s">
        <v>7</v>
      </c>
      <c r="F51" s="58" t="s">
        <v>7</v>
      </c>
      <c r="G51" s="58" t="s">
        <v>7</v>
      </c>
    </row>
    <row r="52" spans="5:7" ht="12.75">
      <c r="E52" s="58">
        <v>1997</v>
      </c>
      <c r="F52" s="58">
        <v>1998</v>
      </c>
      <c r="G52" s="58">
        <v>1999</v>
      </c>
    </row>
    <row r="53" spans="4:7" ht="12.75">
      <c r="D53" s="29" t="s">
        <v>16</v>
      </c>
      <c r="E53" s="59">
        <v>0</v>
      </c>
      <c r="F53" s="59">
        <v>3079</v>
      </c>
      <c r="G53" s="59">
        <v>0</v>
      </c>
    </row>
    <row r="55" ht="12.75">
      <c r="D55" t="s">
        <v>105</v>
      </c>
    </row>
    <row r="56" ht="12.75">
      <c r="D56" t="s">
        <v>106</v>
      </c>
    </row>
    <row r="57" ht="12.75">
      <c r="D57" t="s">
        <v>104</v>
      </c>
    </row>
  </sheetData>
  <printOptions/>
  <pageMargins left="0.75" right="0.75" top="1" bottom="0.21" header="0" footer="0"/>
  <pageSetup horizontalDpi="1200" verticalDpi="1200" orientation="portrait" paperSize="9" r:id="rId1"/>
  <headerFooter alignWithMargins="0">
    <oddFooter>&amp;C-10-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K57"/>
  <sheetViews>
    <sheetView tabSelected="1" workbookViewId="0" topLeftCell="D1">
      <selection activeCell="I32" sqref="I32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  <col min="5" max="5" width="10.421875" style="0" customWidth="1"/>
    <col min="6" max="6" width="9.8515625" style="0" customWidth="1"/>
    <col min="7" max="8" width="10.421875" style="0" customWidth="1"/>
    <col min="9" max="9" width="10.140625" style="0" bestFit="1" customWidth="1"/>
    <col min="10" max="10" width="10.57421875" style="0" customWidth="1"/>
    <col min="11" max="11" width="10.7109375" style="0" customWidth="1"/>
  </cols>
  <sheetData>
    <row r="2" ht="12.75">
      <c r="D2" t="s">
        <v>18</v>
      </c>
    </row>
    <row r="3" ht="13.5" thickBot="1">
      <c r="D3" s="39" t="s">
        <v>52</v>
      </c>
    </row>
    <row r="4" spans="2:8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  <c r="H4" s="31"/>
    </row>
    <row r="5" spans="2:8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  <c r="H5" s="31"/>
    </row>
    <row r="6" spans="3:8" ht="12.75">
      <c r="C6" s="60" t="s">
        <v>0</v>
      </c>
      <c r="D6" s="60" t="s">
        <v>80</v>
      </c>
      <c r="E6" s="30">
        <v>220</v>
      </c>
      <c r="F6" s="30">
        <v>220</v>
      </c>
      <c r="G6" s="30">
        <v>206</v>
      </c>
      <c r="H6" s="40"/>
    </row>
    <row r="7" spans="3:8" ht="12.75">
      <c r="C7" s="61" t="s">
        <v>1</v>
      </c>
      <c r="D7" s="61" t="s">
        <v>10</v>
      </c>
      <c r="E7" s="11">
        <v>22059050</v>
      </c>
      <c r="F7" s="11">
        <v>24196452</v>
      </c>
      <c r="G7" s="11">
        <v>24276575</v>
      </c>
      <c r="H7" s="18"/>
    </row>
    <row r="8" spans="2:8" ht="12.75">
      <c r="B8" s="2">
        <v>1882208</v>
      </c>
      <c r="C8" s="61" t="s">
        <v>2</v>
      </c>
      <c r="D8" s="61" t="s">
        <v>11</v>
      </c>
      <c r="E8" s="11">
        <v>2095245</v>
      </c>
      <c r="F8" s="11">
        <v>2287584</v>
      </c>
      <c r="G8" s="11">
        <v>2356300</v>
      </c>
      <c r="H8" s="18"/>
    </row>
    <row r="9" spans="3:8" ht="12.75">
      <c r="C9" s="61" t="s">
        <v>3</v>
      </c>
      <c r="D9" s="61" t="s">
        <v>12</v>
      </c>
      <c r="E9" s="11">
        <v>881692</v>
      </c>
      <c r="F9" s="11">
        <v>881692</v>
      </c>
      <c r="G9" s="11">
        <v>881692</v>
      </c>
      <c r="H9" s="18"/>
    </row>
    <row r="10" spans="3:8" ht="12.75">
      <c r="C10" s="61" t="s">
        <v>4</v>
      </c>
      <c r="D10" s="61" t="s">
        <v>13</v>
      </c>
      <c r="E10" s="11">
        <v>0</v>
      </c>
      <c r="F10" s="11">
        <v>0</v>
      </c>
      <c r="G10" s="11">
        <v>0</v>
      </c>
      <c r="H10" s="18"/>
    </row>
    <row r="11" spans="3:8" ht="12.75">
      <c r="C11" s="61" t="s">
        <v>5</v>
      </c>
      <c r="D11" s="61" t="s">
        <v>14</v>
      </c>
      <c r="E11" s="11">
        <f>2683765+47245+49134+176331</f>
        <v>2956475</v>
      </c>
      <c r="F11" s="11">
        <f>2364697+24923+106378+83378+12560</f>
        <v>2591936</v>
      </c>
      <c r="G11" s="11">
        <f>2879718+51074+1570743+129802+64472</f>
        <v>4695809</v>
      </c>
      <c r="H11" s="18"/>
    </row>
    <row r="12" spans="3:8" ht="12.75">
      <c r="C12" s="61" t="s">
        <v>6</v>
      </c>
      <c r="D12" s="61" t="s">
        <v>15</v>
      </c>
      <c r="E12" s="11">
        <v>89140</v>
      </c>
      <c r="F12" s="11">
        <v>93971</v>
      </c>
      <c r="G12" s="11">
        <v>115886</v>
      </c>
      <c r="H12" s="18"/>
    </row>
    <row r="13" spans="3:8" ht="12.75">
      <c r="C13" s="61" t="s">
        <v>8</v>
      </c>
      <c r="D13" s="61" t="s">
        <v>16</v>
      </c>
      <c r="E13" s="11">
        <v>27081</v>
      </c>
      <c r="F13" s="11">
        <v>25264</v>
      </c>
      <c r="G13" s="11">
        <v>23959</v>
      </c>
      <c r="H13" s="18"/>
    </row>
    <row r="14" spans="3:8" ht="12.75">
      <c r="C14" s="61" t="s">
        <v>9</v>
      </c>
      <c r="D14" s="61" t="s">
        <v>17</v>
      </c>
      <c r="E14" s="20">
        <f>(+E25-E27-E28)/E6</f>
        <v>5178.504545454545</v>
      </c>
      <c r="F14" s="16">
        <f>(+F25-F27-F28)/F6</f>
        <v>5170.986363636363</v>
      </c>
      <c r="G14" s="16">
        <f>(+G25-G26-G27-G28)/G6</f>
        <v>6554.635922330097</v>
      </c>
      <c r="H14" s="32"/>
    </row>
    <row r="15" spans="3:8" ht="12.75">
      <c r="C15" s="61"/>
      <c r="D15" s="61"/>
      <c r="E15" s="12"/>
      <c r="F15" s="12"/>
      <c r="G15" s="12"/>
      <c r="H15" s="33"/>
    </row>
    <row r="16" spans="3:8" ht="12.75">
      <c r="C16" s="61" t="s">
        <v>19</v>
      </c>
      <c r="D16" s="61" t="s">
        <v>49</v>
      </c>
      <c r="E16" s="25">
        <f>(+E12/((E8+B8)/2))*100</f>
        <v>4.482265409547265</v>
      </c>
      <c r="F16" s="25">
        <f>(+F12/((F8+E8)/2))*100</f>
        <v>4.288143571195683</v>
      </c>
      <c r="G16" s="25">
        <f>(+G12/((G8+F8)/2))*100</f>
        <v>4.990908472304648</v>
      </c>
      <c r="H16" s="34"/>
    </row>
    <row r="17" spans="3:8" ht="12.75">
      <c r="C17" s="61" t="s">
        <v>20</v>
      </c>
      <c r="D17" s="61" t="s">
        <v>21</v>
      </c>
      <c r="E17" s="12">
        <f>SUM(E18:E19)+E21</f>
        <v>19418330</v>
      </c>
      <c r="F17" s="12">
        <f>SUM(F18:F19)+F21</f>
        <v>20538234</v>
      </c>
      <c r="G17" s="12">
        <f>SUM(G18:G19)+G21</f>
        <v>19911591</v>
      </c>
      <c r="H17" s="33"/>
    </row>
    <row r="18" spans="3:11" ht="12.75">
      <c r="C18" s="61" t="s">
        <v>22</v>
      </c>
      <c r="D18" s="61" t="s">
        <v>23</v>
      </c>
      <c r="E18" s="11">
        <v>0</v>
      </c>
      <c r="F18" s="11">
        <v>288382</v>
      </c>
      <c r="G18" s="11">
        <v>281355</v>
      </c>
      <c r="H18" s="18"/>
      <c r="I18" s="21"/>
      <c r="J18" s="21"/>
      <c r="K18" s="21"/>
    </row>
    <row r="19" spans="3:11" ht="12.75">
      <c r="C19" s="61" t="s">
        <v>24</v>
      </c>
      <c r="D19" s="61" t="s">
        <v>25</v>
      </c>
      <c r="E19" s="28">
        <v>17627026</v>
      </c>
      <c r="F19" s="11">
        <v>18023739</v>
      </c>
      <c r="G19" s="11">
        <v>17414632</v>
      </c>
      <c r="H19" s="18"/>
      <c r="I19" s="21"/>
      <c r="J19" s="21"/>
      <c r="K19" s="21"/>
    </row>
    <row r="20" spans="3:9" ht="12.75">
      <c r="C20" s="61" t="s">
        <v>26</v>
      </c>
      <c r="D20" s="61" t="s">
        <v>53</v>
      </c>
      <c r="E20" s="28">
        <v>17627026</v>
      </c>
      <c r="F20" s="28">
        <v>18023739</v>
      </c>
      <c r="G20" s="28">
        <f>18720451-1024464-281355</f>
        <v>17414632</v>
      </c>
      <c r="H20" s="40"/>
      <c r="I20" s="21"/>
    </row>
    <row r="21" spans="3:8" ht="12.75">
      <c r="C21" s="61" t="s">
        <v>27</v>
      </c>
      <c r="D21" s="61" t="s">
        <v>28</v>
      </c>
      <c r="E21" s="11">
        <v>1791304</v>
      </c>
      <c r="F21" s="11">
        <v>2226113</v>
      </c>
      <c r="G21" s="11">
        <v>2215604</v>
      </c>
      <c r="H21" s="18"/>
    </row>
    <row r="22" spans="3:9" ht="12.75">
      <c r="C22" s="61" t="s">
        <v>29</v>
      </c>
      <c r="D22" s="61" t="s">
        <v>30</v>
      </c>
      <c r="E22" s="17">
        <f>(+E29-E30)/E21</f>
        <v>1.2702841058804089</v>
      </c>
      <c r="F22" s="17">
        <f>(+F29-F30)/F21</f>
        <v>1.1445896951322776</v>
      </c>
      <c r="G22" s="17">
        <f>(+G29-G30)/G21</f>
        <v>1.2019900668169943</v>
      </c>
      <c r="H22" s="35"/>
      <c r="I22" s="21"/>
    </row>
    <row r="23" spans="3:9" ht="12.75">
      <c r="C23" s="61" t="s">
        <v>31</v>
      </c>
      <c r="D23" s="61" t="s">
        <v>72</v>
      </c>
      <c r="E23" s="47">
        <f>(+E17-E20)/E8*100</f>
        <v>85.49377280461235</v>
      </c>
      <c r="F23" s="47">
        <f>(+F17-F20)/F8*100</f>
        <v>109.9192423097906</v>
      </c>
      <c r="G23" s="47">
        <f>(+G17-G20)/G8*100</f>
        <v>105.96948605865128</v>
      </c>
      <c r="H23" s="36"/>
      <c r="I23" s="21"/>
    </row>
    <row r="24" spans="3:9" ht="12.75">
      <c r="C24" s="61" t="s">
        <v>74</v>
      </c>
      <c r="D24" s="61" t="s">
        <v>73</v>
      </c>
      <c r="E24" s="19">
        <f>(+E17-E20-E21)/E8*100</f>
        <v>0</v>
      </c>
      <c r="F24" s="19">
        <f>(+F17-F20-F21)/F8*100</f>
        <v>12.606400464420103</v>
      </c>
      <c r="G24" s="19">
        <f>(+G17-G20-G21)/G8*100</f>
        <v>11.940542375758605</v>
      </c>
      <c r="H24" s="36"/>
      <c r="I24" s="21"/>
    </row>
    <row r="25" spans="2:8" ht="12.75">
      <c r="B25" s="2"/>
      <c r="C25" s="10" t="s">
        <v>40</v>
      </c>
      <c r="D25" s="10" t="s">
        <v>36</v>
      </c>
      <c r="E25" s="11">
        <v>2860096</v>
      </c>
      <c r="F25" s="11">
        <f>2448075+12560</f>
        <v>2460635</v>
      </c>
      <c r="G25" s="11">
        <f>2879718+129802+64472</f>
        <v>3073992</v>
      </c>
      <c r="H25" s="18"/>
    </row>
    <row r="26" spans="2:8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0</v>
      </c>
      <c r="H26" s="18"/>
    </row>
    <row r="27" spans="2:8" ht="12.75">
      <c r="B27" s="2"/>
      <c r="C27" s="10" t="s">
        <v>38</v>
      </c>
      <c r="D27" s="10" t="s">
        <v>37</v>
      </c>
      <c r="E27" s="11">
        <v>1703835</v>
      </c>
      <c r="F27" s="11">
        <v>1197519</v>
      </c>
      <c r="G27" s="11">
        <v>1666029</v>
      </c>
      <c r="H27" s="18"/>
    </row>
    <row r="28" spans="2:8" ht="12.75">
      <c r="B28" s="2"/>
      <c r="C28" s="10" t="s">
        <v>39</v>
      </c>
      <c r="D28" s="10" t="s">
        <v>45</v>
      </c>
      <c r="E28" s="11">
        <v>16990</v>
      </c>
      <c r="F28" s="11">
        <v>125499</v>
      </c>
      <c r="G28" s="11">
        <v>57708</v>
      </c>
      <c r="H28" s="18"/>
    </row>
    <row r="29" spans="2:8" ht="12.75">
      <c r="B29" s="2"/>
      <c r="C29" s="10" t="s">
        <v>42</v>
      </c>
      <c r="D29" s="10" t="s">
        <v>46</v>
      </c>
      <c r="E29" s="11">
        <v>2275465</v>
      </c>
      <c r="F29" s="11">
        <v>2547986</v>
      </c>
      <c r="G29" s="11">
        <v>2663134</v>
      </c>
      <c r="H29" s="18"/>
    </row>
    <row r="30" spans="2:8" ht="12.75">
      <c r="B30" s="2"/>
      <c r="C30" s="10" t="s">
        <v>43</v>
      </c>
      <c r="D30" s="10" t="s">
        <v>47</v>
      </c>
      <c r="E30" s="11">
        <v>0</v>
      </c>
      <c r="F30" s="11">
        <v>0</v>
      </c>
      <c r="G30" s="11">
        <v>0</v>
      </c>
      <c r="H30" s="18"/>
    </row>
    <row r="31" spans="2:8" ht="12.75">
      <c r="B31" s="2"/>
      <c r="C31" s="9"/>
      <c r="D31" s="9"/>
      <c r="E31" s="18"/>
      <c r="F31" s="18"/>
      <c r="G31" s="18"/>
      <c r="H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5" ht="12.75">
      <c r="D40" s="24" t="s">
        <v>75</v>
      </c>
      <c r="E40" s="24"/>
    </row>
    <row r="41" spans="4:5" ht="12.75">
      <c r="D41" s="24"/>
      <c r="E41" s="24"/>
    </row>
    <row r="42" spans="4:5" ht="12.75">
      <c r="D42" s="24" t="s">
        <v>76</v>
      </c>
      <c r="E42" s="24"/>
    </row>
    <row r="43" spans="4:5" ht="12.75">
      <c r="D43" s="24" t="s">
        <v>77</v>
      </c>
      <c r="E43" s="24"/>
    </row>
    <row r="44" spans="4:5" ht="12.75">
      <c r="D44" s="24"/>
      <c r="E44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spans="4:6" ht="12.75">
      <c r="D48" t="s">
        <v>84</v>
      </c>
      <c r="E48" s="24"/>
      <c r="F48" s="24"/>
    </row>
    <row r="49" spans="4:5" ht="12.75">
      <c r="D49" s="24" t="s">
        <v>85</v>
      </c>
      <c r="E49" s="24"/>
    </row>
    <row r="50" spans="4:5" ht="12.75">
      <c r="D50" t="s">
        <v>83</v>
      </c>
      <c r="E50" s="24"/>
    </row>
    <row r="51" spans="5:7" ht="12.75">
      <c r="E51" s="58" t="s">
        <v>7</v>
      </c>
      <c r="F51" s="58" t="s">
        <v>7</v>
      </c>
      <c r="G51" s="58" t="s">
        <v>7</v>
      </c>
    </row>
    <row r="52" spans="5:7" ht="12.75">
      <c r="E52" s="58">
        <v>1997</v>
      </c>
      <c r="F52" s="58">
        <v>1998</v>
      </c>
      <c r="G52" s="58">
        <v>1999</v>
      </c>
    </row>
    <row r="53" spans="4:7" ht="12.75">
      <c r="D53" s="29" t="s">
        <v>16</v>
      </c>
      <c r="E53" s="59">
        <v>25100</v>
      </c>
      <c r="F53" s="59">
        <f>10074+5123</f>
        <v>15197</v>
      </c>
      <c r="G53" s="59">
        <f>10794+27720</f>
        <v>38514</v>
      </c>
    </row>
    <row r="55" ht="12.75">
      <c r="D55" t="s">
        <v>105</v>
      </c>
    </row>
    <row r="56" ht="12.75">
      <c r="D56" t="s">
        <v>106</v>
      </c>
    </row>
    <row r="57" spans="4:5" ht="12.75">
      <c r="D57" t="s">
        <v>104</v>
      </c>
      <c r="E57" s="21"/>
    </row>
  </sheetData>
  <printOptions/>
  <pageMargins left="0.75" right="0.75" top="1" bottom="0.16" header="0" footer="0"/>
  <pageSetup horizontalDpi="1200" verticalDpi="1200" orientation="portrait" paperSize="9" r:id="rId1"/>
  <headerFooter alignWithMargins="0">
    <oddFooter>&amp;C-8-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54"/>
  <sheetViews>
    <sheetView workbookViewId="0" topLeftCell="D1">
      <selection activeCell="D1" sqref="D1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  <col min="5" max="5" width="11.140625" style="0" bestFit="1" customWidth="1"/>
  </cols>
  <sheetData>
    <row r="2" ht="12.75">
      <c r="D2" s="44" t="s">
        <v>18</v>
      </c>
    </row>
    <row r="3" ht="13.5" thickBot="1">
      <c r="D3" s="39" t="s">
        <v>32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22">
        <v>182</v>
      </c>
      <c r="F6" s="22">
        <v>187</v>
      </c>
      <c r="G6" s="41">
        <v>184</v>
      </c>
    </row>
    <row r="7" spans="3:7" ht="12.75">
      <c r="C7" s="61" t="s">
        <v>1</v>
      </c>
      <c r="D7" s="61" t="s">
        <v>10</v>
      </c>
      <c r="E7" s="23">
        <v>2167526</v>
      </c>
      <c r="F7" s="23">
        <v>2483389</v>
      </c>
      <c r="G7" s="42">
        <v>2898665</v>
      </c>
    </row>
    <row r="8" spans="2:7" ht="12.75">
      <c r="B8" s="2">
        <v>856840</v>
      </c>
      <c r="C8" s="61" t="s">
        <v>2</v>
      </c>
      <c r="D8" s="61" t="s">
        <v>11</v>
      </c>
      <c r="E8" s="23">
        <v>924082</v>
      </c>
      <c r="F8" s="23">
        <v>1018010</v>
      </c>
      <c r="G8" s="42">
        <v>1054188</v>
      </c>
    </row>
    <row r="9" spans="3:7" ht="12.75">
      <c r="C9" s="61" t="s">
        <v>3</v>
      </c>
      <c r="D9" s="61" t="s">
        <v>12</v>
      </c>
      <c r="E9" s="23">
        <v>315547</v>
      </c>
      <c r="F9" s="23">
        <v>315547</v>
      </c>
      <c r="G9" s="42">
        <v>315547</v>
      </c>
    </row>
    <row r="10" spans="3:7" ht="12.75">
      <c r="C10" s="61" t="s">
        <v>4</v>
      </c>
      <c r="D10" s="61" t="s">
        <v>13</v>
      </c>
      <c r="E10" s="23">
        <v>0</v>
      </c>
      <c r="F10" s="23">
        <v>0</v>
      </c>
      <c r="G10" s="42">
        <v>0</v>
      </c>
    </row>
    <row r="11" spans="3:7" ht="12.75">
      <c r="C11" s="61" t="s">
        <v>5</v>
      </c>
      <c r="D11" s="61" t="s">
        <v>14</v>
      </c>
      <c r="E11" s="23">
        <v>1682789</v>
      </c>
      <c r="F11" s="23">
        <v>1998989</v>
      </c>
      <c r="G11" s="42">
        <f>1994696+136458+62203+19802</f>
        <v>2213159</v>
      </c>
    </row>
    <row r="12" spans="3:7" ht="12.75">
      <c r="C12" s="61" t="s">
        <v>6</v>
      </c>
      <c r="D12" s="61" t="s">
        <v>15</v>
      </c>
      <c r="E12" s="23">
        <v>39292</v>
      </c>
      <c r="F12" s="23">
        <v>71284</v>
      </c>
      <c r="G12" s="42">
        <v>57064</v>
      </c>
    </row>
    <row r="13" spans="3:7" ht="12.75">
      <c r="C13" s="61" t="s">
        <v>8</v>
      </c>
      <c r="D13" s="61" t="s">
        <v>16</v>
      </c>
      <c r="E13" s="11">
        <v>33270</v>
      </c>
      <c r="F13" s="11">
        <v>29171</v>
      </c>
      <c r="G13" s="28">
        <v>20886</v>
      </c>
    </row>
    <row r="14" spans="3:7" ht="12.75">
      <c r="C14" s="61" t="s">
        <v>9</v>
      </c>
      <c r="D14" s="61" t="s">
        <v>17</v>
      </c>
      <c r="E14" s="16">
        <f>(+E25-E27-E28)/E6</f>
        <v>6003.934065934066</v>
      </c>
      <c r="F14" s="16">
        <f>(+F25-F27-F28)/F6</f>
        <v>6631.973262032086</v>
      </c>
      <c r="G14" s="43">
        <f>(+G25-G26-G27-G28)/G6</f>
        <v>7381.945652173913</v>
      </c>
    </row>
    <row r="15" spans="3:7" ht="12.75">
      <c r="C15" s="61"/>
      <c r="D15" s="61"/>
      <c r="E15" s="12"/>
      <c r="F15" s="12"/>
      <c r="G15" s="27"/>
    </row>
    <row r="16" spans="3:7" ht="12.75">
      <c r="C16" s="61" t="s">
        <v>19</v>
      </c>
      <c r="D16" s="61" t="s">
        <v>49</v>
      </c>
      <c r="E16" s="25">
        <f>(+E12/((E8+B8)/2))*100</f>
        <v>4.412545861076453</v>
      </c>
      <c r="F16" s="25">
        <f>(+F12/((F8+E8)/2))*100</f>
        <v>7.340949862313423</v>
      </c>
      <c r="G16" s="25">
        <f>(+G12/((G8+F8)/2))*100</f>
        <v>5.507581804441467</v>
      </c>
    </row>
    <row r="17" spans="3:7" ht="12.75">
      <c r="C17" s="61" t="s">
        <v>20</v>
      </c>
      <c r="D17" s="61" t="s">
        <v>21</v>
      </c>
      <c r="E17" s="12">
        <f>SUM(E18:E19)+E21</f>
        <v>1146516</v>
      </c>
      <c r="F17" s="12">
        <f>SUM(F18:F19)+F21</f>
        <v>1366832</v>
      </c>
      <c r="G17" s="12">
        <f>SUM(G18:G19)+G21</f>
        <v>1757632</v>
      </c>
    </row>
    <row r="18" spans="3:7" ht="12.75">
      <c r="C18" s="61" t="s">
        <v>22</v>
      </c>
      <c r="D18" s="61" t="s">
        <v>23</v>
      </c>
      <c r="E18" s="23">
        <v>26812</v>
      </c>
      <c r="F18" s="23">
        <v>0</v>
      </c>
      <c r="G18" s="42"/>
    </row>
    <row r="19" spans="3:7" ht="12.75">
      <c r="C19" s="61" t="s">
        <v>24</v>
      </c>
      <c r="D19" s="61" t="s">
        <v>25</v>
      </c>
      <c r="E19" s="42">
        <v>882973</v>
      </c>
      <c r="F19" s="42">
        <v>1101864</v>
      </c>
      <c r="G19" s="42">
        <v>1164466</v>
      </c>
    </row>
    <row r="20" spans="3:7" ht="12.75">
      <c r="C20" s="61" t="s">
        <v>26</v>
      </c>
      <c r="D20" s="61" t="s">
        <v>79</v>
      </c>
      <c r="E20" s="42">
        <v>882973</v>
      </c>
      <c r="F20" s="42">
        <v>1101864</v>
      </c>
      <c r="G20" s="42">
        <v>1164466</v>
      </c>
    </row>
    <row r="21" spans="3:7" ht="12.75">
      <c r="C21" s="61" t="s">
        <v>27</v>
      </c>
      <c r="D21" s="61" t="s">
        <v>28</v>
      </c>
      <c r="E21" s="23">
        <f>2438+234293</f>
        <v>236731</v>
      </c>
      <c r="F21" s="23">
        <v>264968</v>
      </c>
      <c r="G21" s="42">
        <f>593166</f>
        <v>593166</v>
      </c>
    </row>
    <row r="22" spans="3:7" ht="12.75">
      <c r="C22" s="61" t="s">
        <v>29</v>
      </c>
      <c r="D22" s="61" t="s">
        <v>30</v>
      </c>
      <c r="E22" s="17">
        <f>(+E29-E30)/E21</f>
        <v>2.971376794758608</v>
      </c>
      <c r="F22" s="17">
        <f>(+F29-F30)/F21</f>
        <v>3.143436188520878</v>
      </c>
      <c r="G22" s="25">
        <f>(+G29-G30)/G21</f>
        <v>1.6899265972763104</v>
      </c>
    </row>
    <row r="23" spans="3:7" ht="12.75">
      <c r="C23" s="61" t="s">
        <v>31</v>
      </c>
      <c r="D23" s="61" t="s">
        <v>72</v>
      </c>
      <c r="E23" s="57">
        <f>(+E17-E20)/E8*100</f>
        <v>28.519438751106502</v>
      </c>
      <c r="F23" s="57">
        <f>(+F17-F20)/F8*100</f>
        <v>26.028035088063966</v>
      </c>
      <c r="G23" s="57">
        <f>(+G17-G20)/G8*100</f>
        <v>56.267572766906845</v>
      </c>
    </row>
    <row r="24" spans="3:7" ht="12.75">
      <c r="C24" s="61" t="s">
        <v>74</v>
      </c>
      <c r="D24" s="61" t="s">
        <v>73</v>
      </c>
      <c r="E24" s="19">
        <f>(+E17-E20-E21)/E8*100</f>
        <v>2.901474111604814</v>
      </c>
      <c r="F24" s="19">
        <f>(+F17-F20-F21)/F8*100</f>
        <v>0</v>
      </c>
      <c r="G24" s="19">
        <f>(+G17-G20-G21)/G8*100</f>
        <v>0</v>
      </c>
    </row>
    <row r="25" spans="2:7" ht="12.75">
      <c r="B25" s="2"/>
      <c r="C25" s="10" t="s">
        <v>40</v>
      </c>
      <c r="D25" s="10" t="s">
        <v>36</v>
      </c>
      <c r="E25" s="23">
        <v>1649645</v>
      </c>
      <c r="F25" s="23">
        <v>1920593</v>
      </c>
      <c r="G25" s="42">
        <f>1994696+136458</f>
        <v>2131154</v>
      </c>
    </row>
    <row r="26" spans="2:7" ht="12.75">
      <c r="B26" s="2"/>
      <c r="C26" s="10" t="s">
        <v>41</v>
      </c>
      <c r="D26" s="10" t="s">
        <v>48</v>
      </c>
      <c r="E26" s="23">
        <v>0</v>
      </c>
      <c r="F26" s="23">
        <v>0</v>
      </c>
      <c r="G26" s="42"/>
    </row>
    <row r="27" spans="2:7" ht="12.75">
      <c r="B27" s="2"/>
      <c r="C27" s="10" t="s">
        <v>38</v>
      </c>
      <c r="D27" s="10" t="s">
        <v>37</v>
      </c>
      <c r="E27" s="23">
        <v>483520</v>
      </c>
      <c r="F27" s="23">
        <v>611480</v>
      </c>
      <c r="G27" s="42">
        <v>737627</v>
      </c>
    </row>
    <row r="28" spans="2:7" ht="12.75">
      <c r="B28" s="2"/>
      <c r="C28" s="10" t="s">
        <v>39</v>
      </c>
      <c r="D28" s="10" t="s">
        <v>45</v>
      </c>
      <c r="E28" s="23">
        <v>73409</v>
      </c>
      <c r="F28" s="23">
        <f>68934</f>
        <v>68934</v>
      </c>
      <c r="G28" s="42">
        <v>35249</v>
      </c>
    </row>
    <row r="29" spans="2:7" ht="12.75">
      <c r="B29" s="2"/>
      <c r="C29" s="10" t="s">
        <v>42</v>
      </c>
      <c r="D29" s="10" t="s">
        <v>46</v>
      </c>
      <c r="E29" s="23">
        <v>703417</v>
      </c>
      <c r="F29" s="23">
        <v>832910</v>
      </c>
      <c r="G29" s="42">
        <v>1002407</v>
      </c>
    </row>
    <row r="30" spans="2:7" ht="12.75">
      <c r="B30" s="2"/>
      <c r="C30" s="10" t="s">
        <v>43</v>
      </c>
      <c r="D30" s="10" t="s">
        <v>47</v>
      </c>
      <c r="E30" s="23">
        <v>0</v>
      </c>
      <c r="F30" s="23">
        <v>0</v>
      </c>
      <c r="G30" s="42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5" ht="12.75">
      <c r="D40" s="24" t="s">
        <v>75</v>
      </c>
      <c r="E40" s="24"/>
    </row>
    <row r="41" spans="4:5" ht="12.75">
      <c r="D41" s="24"/>
      <c r="E41" s="24"/>
    </row>
    <row r="42" spans="4:5" ht="12.75">
      <c r="D42" s="24" t="s">
        <v>76</v>
      </c>
      <c r="E42" s="24"/>
    </row>
    <row r="43" spans="4:5" ht="12.75">
      <c r="D43" s="24" t="s">
        <v>77</v>
      </c>
      <c r="E43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2" ht="12.75">
      <c r="D52" t="s">
        <v>105</v>
      </c>
    </row>
    <row r="53" ht="12.75">
      <c r="D53" t="s">
        <v>106</v>
      </c>
    </row>
    <row r="54" ht="12.75">
      <c r="D54" t="s">
        <v>104</v>
      </c>
    </row>
  </sheetData>
  <printOptions/>
  <pageMargins left="0.75" right="0.75" top="0.92" bottom="0.21" header="0" footer="0"/>
  <pageSetup horizontalDpi="1200" verticalDpi="1200" orientation="portrait" paperSize="9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58"/>
  <sheetViews>
    <sheetView workbookViewId="0" topLeftCell="D1">
      <selection activeCell="D1" sqref="D1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  <col min="7" max="7" width="10.57421875" style="0" customWidth="1"/>
  </cols>
  <sheetData>
    <row r="2" ht="12.75">
      <c r="D2" t="s">
        <v>18</v>
      </c>
    </row>
    <row r="3" spans="3:4" ht="13.5" thickBot="1">
      <c r="C3" s="39"/>
      <c r="D3" s="39" t="s">
        <v>86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725</v>
      </c>
      <c r="F6" s="13">
        <v>701</v>
      </c>
      <c r="G6" s="30">
        <v>698</v>
      </c>
    </row>
    <row r="7" spans="3:7" ht="12.75">
      <c r="C7" s="61" t="s">
        <v>1</v>
      </c>
      <c r="D7" s="61" t="s">
        <v>10</v>
      </c>
      <c r="E7" s="28">
        <v>4066221</v>
      </c>
      <c r="F7" s="11">
        <v>4667239</v>
      </c>
      <c r="G7" s="11">
        <v>3435685</v>
      </c>
    </row>
    <row r="8" spans="2:7" ht="12.75">
      <c r="B8" s="2">
        <v>1090172</v>
      </c>
      <c r="C8" s="61" t="s">
        <v>2</v>
      </c>
      <c r="D8" s="61" t="s">
        <v>11</v>
      </c>
      <c r="E8" s="11">
        <v>1198799</v>
      </c>
      <c r="F8" s="11">
        <v>1217130</v>
      </c>
      <c r="G8" s="11">
        <v>929734</v>
      </c>
    </row>
    <row r="9" spans="3:7" ht="12.75">
      <c r="C9" s="61" t="s">
        <v>3</v>
      </c>
      <c r="D9" s="61" t="s">
        <v>12</v>
      </c>
      <c r="E9" s="11">
        <v>491685</v>
      </c>
      <c r="F9" s="11">
        <v>491685</v>
      </c>
      <c r="G9" s="11">
        <v>491685</v>
      </c>
    </row>
    <row r="10" spans="3:7" ht="12.75">
      <c r="C10" s="61" t="s">
        <v>4</v>
      </c>
      <c r="D10" s="61" t="s">
        <v>13</v>
      </c>
      <c r="E10" s="11">
        <v>16098</v>
      </c>
      <c r="F10" s="11">
        <v>25046</v>
      </c>
      <c r="G10" s="11">
        <v>0</v>
      </c>
    </row>
    <row r="11" spans="3:7" ht="12.75">
      <c r="C11" s="61" t="s">
        <v>5</v>
      </c>
      <c r="D11" s="61" t="s">
        <v>14</v>
      </c>
      <c r="E11" s="11">
        <f>3297396+15993+10357+83157+231351</f>
        <v>3638254</v>
      </c>
      <c r="F11" s="11">
        <f>3382624+16088+55336+42496+235270</f>
        <v>3731814</v>
      </c>
      <c r="G11" s="11">
        <f>3415485+365793+1+5951+5198</f>
        <v>3792428</v>
      </c>
    </row>
    <row r="12" spans="3:7" ht="12.75">
      <c r="C12" s="61" t="s">
        <v>6</v>
      </c>
      <c r="D12" s="61" t="s">
        <v>15</v>
      </c>
      <c r="E12" s="26">
        <v>11601</v>
      </c>
      <c r="F12" s="26">
        <v>-65585</v>
      </c>
      <c r="G12" s="26">
        <v>-287396</v>
      </c>
    </row>
    <row r="13" spans="3:7" ht="12.75">
      <c r="C13" s="61" t="s">
        <v>8</v>
      </c>
      <c r="D13" s="61" t="s">
        <v>16</v>
      </c>
      <c r="E13" s="11"/>
      <c r="F13" s="11"/>
      <c r="G13" s="11"/>
    </row>
    <row r="14" spans="3:7" ht="12.75">
      <c r="C14" s="61" t="s">
        <v>9</v>
      </c>
      <c r="D14" s="61" t="s">
        <v>17</v>
      </c>
      <c r="E14" s="20">
        <f>(+E25-E27-E28)/E6</f>
        <v>2719.846896551724</v>
      </c>
      <c r="F14" s="16">
        <f>(+F25-F27-F28)/F6</f>
        <v>2929.718972895863</v>
      </c>
      <c r="G14" s="16">
        <f>(+G25-G26-G27-G28)/G6</f>
        <v>3305.906876790831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25">
        <f>(+E12/((E8+B8)/2))*100</f>
        <v>1.0136432484290976</v>
      </c>
      <c r="F16" s="38">
        <f>(+F12/((F8+E8)/2))*100</f>
        <v>-5.429381409801364</v>
      </c>
      <c r="G16" s="38">
        <f>(+G12/((G8+F8)/2))*100</f>
        <v>-26.773563672407754</v>
      </c>
    </row>
    <row r="17" spans="3:7" ht="12.75">
      <c r="C17" s="61" t="s">
        <v>20</v>
      </c>
      <c r="D17" s="61" t="s">
        <v>21</v>
      </c>
      <c r="E17" s="12">
        <f>SUM(E18:E19)+E21</f>
        <v>2820707</v>
      </c>
      <c r="F17" s="12">
        <f>SUM(F18:F19)+F21</f>
        <v>3410353</v>
      </c>
      <c r="G17" s="27">
        <f>SUM(G18:G19)+G21</f>
        <v>2991046</v>
      </c>
    </row>
    <row r="18" spans="3:7" ht="12.75">
      <c r="C18" s="61" t="s">
        <v>22</v>
      </c>
      <c r="D18" s="61" t="s">
        <v>23</v>
      </c>
      <c r="E18" s="11">
        <v>203996</v>
      </c>
      <c r="F18" s="11">
        <v>169491</v>
      </c>
      <c r="G18" s="11">
        <v>127232</v>
      </c>
    </row>
    <row r="19" spans="3:10" ht="12.75">
      <c r="C19" s="61" t="s">
        <v>24</v>
      </c>
      <c r="D19" s="61" t="s">
        <v>25</v>
      </c>
      <c r="E19" s="11">
        <v>1244213</v>
      </c>
      <c r="F19" s="11">
        <v>1422412</v>
      </c>
      <c r="G19" s="11">
        <f>466975+540564</f>
        <v>1007539</v>
      </c>
      <c r="H19" s="21"/>
      <c r="I19" s="21"/>
      <c r="J19" s="21"/>
    </row>
    <row r="20" spans="3:7" ht="12.75">
      <c r="C20" s="61" t="s">
        <v>26</v>
      </c>
      <c r="D20" s="61" t="s">
        <v>79</v>
      </c>
      <c r="E20" s="28">
        <v>644922</v>
      </c>
      <c r="F20" s="28">
        <v>642533</v>
      </c>
      <c r="G20" s="28">
        <v>0</v>
      </c>
    </row>
    <row r="21" spans="3:7" ht="12.75">
      <c r="C21" s="61" t="s">
        <v>27</v>
      </c>
      <c r="D21" s="61" t="s">
        <v>28</v>
      </c>
      <c r="E21" s="11">
        <v>1372498</v>
      </c>
      <c r="F21" s="11">
        <f>332911+1485539</f>
        <v>1818450</v>
      </c>
      <c r="G21" s="11">
        <f>895236+961039</f>
        <v>1856275</v>
      </c>
    </row>
    <row r="22" spans="3:7" ht="12.75">
      <c r="C22" s="61" t="s">
        <v>29</v>
      </c>
      <c r="D22" s="61" t="s">
        <v>30</v>
      </c>
      <c r="E22" s="17">
        <f>(+E29-E30)/E21</f>
        <v>0.5580802303537055</v>
      </c>
      <c r="F22" s="17">
        <f>(+F29-F30)/F21</f>
        <v>0.4758954054276994</v>
      </c>
      <c r="G22" s="17">
        <f>(+G29-G30)/G21</f>
        <v>0.3259204589837174</v>
      </c>
    </row>
    <row r="23" spans="3:7" ht="12.75">
      <c r="C23" s="61" t="s">
        <v>31</v>
      </c>
      <c r="D23" s="61" t="s">
        <v>72</v>
      </c>
      <c r="E23" s="57">
        <f>(+E17-E20)/E8*100</f>
        <v>181.49706497920002</v>
      </c>
      <c r="F23" s="57">
        <f>(+F17-F20)/F8*100</f>
        <v>227.40545381347923</v>
      </c>
      <c r="G23" s="57">
        <f>(+G17-G20)/G8*100</f>
        <v>321.7098654023624</v>
      </c>
    </row>
    <row r="24" spans="3:7" ht="12.75">
      <c r="C24" s="61" t="s">
        <v>74</v>
      </c>
      <c r="D24" s="61" t="s">
        <v>73</v>
      </c>
      <c r="E24" s="19">
        <f>(+E17-E20-E21)/E8*100</f>
        <v>67.00764681985888</v>
      </c>
      <c r="F24" s="19">
        <f>(+F17-F20-F21)/F8*100</f>
        <v>78.00070658023382</v>
      </c>
      <c r="G24" s="19">
        <f>(+G17-G20-G21)/G8*100</f>
        <v>122.05329696450814</v>
      </c>
    </row>
    <row r="25" spans="2:7" ht="12.75">
      <c r="B25" s="2"/>
      <c r="C25" s="61" t="s">
        <v>40</v>
      </c>
      <c r="D25" s="61" t="s">
        <v>36</v>
      </c>
      <c r="E25" s="11">
        <v>3323746</v>
      </c>
      <c r="F25" s="11">
        <f>3382624+16088+55336</f>
        <v>3454048</v>
      </c>
      <c r="G25" s="11">
        <f>3415485+365793</f>
        <v>3781278</v>
      </c>
    </row>
    <row r="26" spans="2:7" ht="12.75">
      <c r="B26" s="2"/>
      <c r="C26" s="61" t="s">
        <v>41</v>
      </c>
      <c r="D26" s="61" t="s">
        <v>48</v>
      </c>
      <c r="E26" s="11">
        <v>0</v>
      </c>
      <c r="F26" s="11">
        <v>0</v>
      </c>
      <c r="G26" s="11">
        <v>0</v>
      </c>
    </row>
    <row r="27" spans="2:7" ht="12.75">
      <c r="B27" s="2"/>
      <c r="C27" s="61" t="s">
        <v>38</v>
      </c>
      <c r="D27" s="61" t="s">
        <v>37</v>
      </c>
      <c r="E27" s="11">
        <v>1325477</v>
      </c>
      <c r="F27" s="11">
        <v>1364778</v>
      </c>
      <c r="G27" s="11">
        <v>1436214</v>
      </c>
    </row>
    <row r="28" spans="2:7" ht="12.75">
      <c r="B28" s="2"/>
      <c r="C28" s="61" t="s">
        <v>39</v>
      </c>
      <c r="D28" s="61" t="s">
        <v>45</v>
      </c>
      <c r="E28" s="11">
        <v>26380</v>
      </c>
      <c r="F28" s="11">
        <v>35537</v>
      </c>
      <c r="G28" s="11">
        <v>37541</v>
      </c>
    </row>
    <row r="29" spans="2:7" ht="12.75">
      <c r="B29" s="2"/>
      <c r="C29" s="61" t="s">
        <v>42</v>
      </c>
      <c r="D29" s="61" t="s">
        <v>46</v>
      </c>
      <c r="E29" s="11">
        <v>765964</v>
      </c>
      <c r="F29" s="11">
        <v>865392</v>
      </c>
      <c r="G29" s="11">
        <v>604998</v>
      </c>
    </row>
    <row r="30" spans="2:7" ht="12.75">
      <c r="B30" s="2"/>
      <c r="C30" s="61" t="s">
        <v>43</v>
      </c>
      <c r="D30" s="61" t="s">
        <v>47</v>
      </c>
      <c r="E30" s="11">
        <v>0</v>
      </c>
      <c r="F30" s="11">
        <v>0</v>
      </c>
      <c r="G30" s="11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ht="12.75">
      <c r="D40" s="24" t="s">
        <v>75</v>
      </c>
    </row>
    <row r="42" spans="4:5" ht="12.75">
      <c r="D42" s="24" t="s">
        <v>76</v>
      </c>
      <c r="E42" s="24"/>
    </row>
    <row r="43" spans="4:5" ht="12.75">
      <c r="D43" s="24" t="s">
        <v>77</v>
      </c>
      <c r="E43" s="24"/>
    </row>
    <row r="45" spans="4:5" ht="12.75">
      <c r="D45" s="24" t="s">
        <v>81</v>
      </c>
      <c r="E45" s="24"/>
    </row>
    <row r="46" spans="3:5" ht="12.75">
      <c r="C46" s="24"/>
      <c r="D46" s="24" t="s">
        <v>82</v>
      </c>
      <c r="E46" s="24"/>
    </row>
    <row r="47" spans="3:5" ht="12.75">
      <c r="C47" s="24"/>
      <c r="D47" s="24"/>
      <c r="E47" s="24"/>
    </row>
    <row r="48" spans="3:4" ht="12.75">
      <c r="C48" s="24"/>
      <c r="D48" t="s">
        <v>84</v>
      </c>
    </row>
    <row r="49" spans="3:7" ht="12.75">
      <c r="C49" s="24"/>
      <c r="D49" s="24" t="s">
        <v>85</v>
      </c>
      <c r="E49" s="24"/>
      <c r="F49" s="24"/>
      <c r="G49" s="24"/>
    </row>
    <row r="50" spans="3:4" ht="12.75">
      <c r="C50" s="24"/>
      <c r="D50" t="s">
        <v>83</v>
      </c>
    </row>
    <row r="51" spans="3:7" ht="12.75">
      <c r="C51" s="24"/>
      <c r="D51" s="24"/>
      <c r="E51" s="24"/>
      <c r="F51" s="24"/>
      <c r="G51" s="24"/>
    </row>
    <row r="52" spans="3:7" ht="12.75">
      <c r="C52" s="24"/>
      <c r="D52" s="24" t="s">
        <v>89</v>
      </c>
      <c r="E52" s="24"/>
      <c r="F52" s="24"/>
      <c r="G52" s="24"/>
    </row>
    <row r="53" spans="3:7" ht="12.75">
      <c r="C53" s="24"/>
      <c r="D53" s="24" t="s">
        <v>88</v>
      </c>
      <c r="E53" s="24"/>
      <c r="F53" s="24"/>
      <c r="G53" s="24"/>
    </row>
    <row r="54" spans="3:7" ht="12.75">
      <c r="C54" s="24"/>
      <c r="D54" s="24" t="s">
        <v>87</v>
      </c>
      <c r="E54" s="24"/>
      <c r="F54" s="24"/>
      <c r="G54" s="24"/>
    </row>
    <row r="55" spans="3:7" ht="12.75">
      <c r="C55" s="24"/>
      <c r="D55" s="24"/>
      <c r="E55" s="24"/>
      <c r="F55" s="24"/>
      <c r="G55" s="24"/>
    </row>
    <row r="56" ht="12.75">
      <c r="D56" t="s">
        <v>105</v>
      </c>
    </row>
    <row r="57" ht="12.75">
      <c r="D57" t="s">
        <v>106</v>
      </c>
    </row>
    <row r="58" ht="12.75">
      <c r="D58" t="s">
        <v>104</v>
      </c>
    </row>
  </sheetData>
  <printOptions/>
  <pageMargins left="0.75" right="0.75" top="0.9" bottom="0.21" header="0" footer="0"/>
  <pageSetup horizontalDpi="1200" verticalDpi="1200" orientation="portrait" paperSize="9" r:id="rId1"/>
  <headerFooter alignWithMargins="0">
    <oddFooter>&amp;C-1-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G54"/>
  <sheetViews>
    <sheetView workbookViewId="0" topLeftCell="D1">
      <selection activeCell="H18" sqref="H18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50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6</v>
      </c>
      <c r="F6" s="13">
        <v>6</v>
      </c>
      <c r="G6" s="13">
        <v>6</v>
      </c>
    </row>
    <row r="7" spans="3:7" ht="12.75">
      <c r="C7" s="61" t="s">
        <v>1</v>
      </c>
      <c r="D7" s="61" t="s">
        <v>10</v>
      </c>
      <c r="E7" s="11">
        <v>55939</v>
      </c>
      <c r="F7" s="11">
        <v>58526</v>
      </c>
      <c r="G7" s="11">
        <v>50121</v>
      </c>
    </row>
    <row r="8" spans="2:7" ht="12.75">
      <c r="B8" s="2">
        <v>40717</v>
      </c>
      <c r="C8" s="61" t="s">
        <v>2</v>
      </c>
      <c r="D8" s="61" t="s">
        <v>11</v>
      </c>
      <c r="E8" s="11">
        <v>53558</v>
      </c>
      <c r="F8" s="11">
        <v>56545</v>
      </c>
      <c r="G8" s="11">
        <v>47473</v>
      </c>
    </row>
    <row r="9" spans="3:7" ht="12.75">
      <c r="C9" s="61" t="s">
        <v>3</v>
      </c>
      <c r="D9" s="61" t="s">
        <v>12</v>
      </c>
      <c r="E9" s="11">
        <v>26725</v>
      </c>
      <c r="F9" s="11">
        <v>26725</v>
      </c>
      <c r="G9" s="11">
        <v>26725</v>
      </c>
    </row>
    <row r="10" spans="3:7" ht="12.75">
      <c r="C10" s="61" t="s">
        <v>4</v>
      </c>
      <c r="D10" s="61" t="s">
        <v>13</v>
      </c>
      <c r="E10" s="28">
        <v>195</v>
      </c>
      <c r="F10" s="11">
        <v>443</v>
      </c>
      <c r="G10" s="11">
        <v>0</v>
      </c>
    </row>
    <row r="11" spans="3:7" ht="12.75">
      <c r="C11" s="61" t="s">
        <v>5</v>
      </c>
      <c r="D11" s="61" t="s">
        <v>14</v>
      </c>
      <c r="E11" s="11">
        <f>24783+1645+507</f>
        <v>26935</v>
      </c>
      <c r="F11" s="11">
        <f>25861+88</f>
        <v>25949</v>
      </c>
      <c r="G11" s="11">
        <f>26342+28</f>
        <v>26370</v>
      </c>
    </row>
    <row r="12" spans="3:7" ht="12.75">
      <c r="C12" s="61" t="s">
        <v>6</v>
      </c>
      <c r="D12" s="61" t="s">
        <v>15</v>
      </c>
      <c r="E12" s="26">
        <v>92</v>
      </c>
      <c r="F12" s="26">
        <v>-760</v>
      </c>
      <c r="G12" s="26">
        <v>-1780</v>
      </c>
    </row>
    <row r="13" spans="3:7" ht="12.75">
      <c r="C13" s="61" t="s">
        <v>8</v>
      </c>
      <c r="D13" s="61" t="s">
        <v>16</v>
      </c>
      <c r="E13" s="11"/>
      <c r="F13" s="11"/>
      <c r="G13" s="11"/>
    </row>
    <row r="14" spans="3:7" ht="12.75">
      <c r="C14" s="61" t="s">
        <v>9</v>
      </c>
      <c r="D14" s="61" t="s">
        <v>17</v>
      </c>
      <c r="E14" s="20">
        <f>(+E25-E27-E28)/E6</f>
        <v>3420</v>
      </c>
      <c r="F14" s="16">
        <f>(+F25-F27-F28)/F6</f>
        <v>3211.6666666666665</v>
      </c>
      <c r="G14" s="16">
        <f>(+G25-G26-G27-G28)/G6</f>
        <v>3344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38">
        <f>(+E12/((E8+B8)/2))*100</f>
        <v>0.19517369398037657</v>
      </c>
      <c r="F16" s="38">
        <f>(+F12/((F8+E8)/2))*100</f>
        <v>-1.3805255079334806</v>
      </c>
      <c r="G16" s="38">
        <f>(+G12/((G8+F8)/2))*100</f>
        <v>-3.422484569978273</v>
      </c>
    </row>
    <row r="17" spans="3:7" ht="12.75">
      <c r="C17" s="61" t="s">
        <v>20</v>
      </c>
      <c r="D17" s="61" t="s">
        <v>21</v>
      </c>
      <c r="E17" s="12">
        <f>SUM(E18:E19)+E21+E20</f>
        <v>2381</v>
      </c>
      <c r="F17" s="12">
        <f>SUM(F18:F19)+F21+F20</f>
        <v>1981</v>
      </c>
      <c r="G17" s="12">
        <f>SUM(G18:G19)+G21+G20</f>
        <v>2648</v>
      </c>
    </row>
    <row r="18" spans="3:7" ht="12.75">
      <c r="C18" s="61" t="s">
        <v>22</v>
      </c>
      <c r="D18" s="61" t="s">
        <v>23</v>
      </c>
      <c r="E18" s="11">
        <v>0</v>
      </c>
      <c r="F18" s="11">
        <v>0</v>
      </c>
      <c r="G18" s="11">
        <v>0</v>
      </c>
    </row>
    <row r="19" spans="3:7" ht="12.75">
      <c r="C19" s="61" t="s">
        <v>24</v>
      </c>
      <c r="D19" s="61" t="s">
        <v>25</v>
      </c>
      <c r="E19" s="11">
        <v>0</v>
      </c>
      <c r="F19" s="11">
        <v>0</v>
      </c>
      <c r="G19" s="11">
        <v>0</v>
      </c>
    </row>
    <row r="20" spans="3:7" ht="12.75">
      <c r="C20" s="61" t="s">
        <v>26</v>
      </c>
      <c r="D20" s="61" t="s">
        <v>79</v>
      </c>
      <c r="E20" s="11">
        <v>0</v>
      </c>
      <c r="F20" s="11">
        <v>0</v>
      </c>
      <c r="G20" s="11">
        <v>0</v>
      </c>
    </row>
    <row r="21" spans="3:7" ht="12.75">
      <c r="C21" s="61" t="s">
        <v>27</v>
      </c>
      <c r="D21" s="61" t="s">
        <v>28</v>
      </c>
      <c r="E21" s="11">
        <v>2381</v>
      </c>
      <c r="F21" s="11">
        <v>1981</v>
      </c>
      <c r="G21" s="11">
        <v>2648</v>
      </c>
    </row>
    <row r="22" spans="3:7" ht="12.75">
      <c r="C22" s="61" t="s">
        <v>29</v>
      </c>
      <c r="D22" s="61" t="s">
        <v>30</v>
      </c>
      <c r="E22" s="17">
        <f>(+E29-E30)/E21</f>
        <v>1.020159596808064</v>
      </c>
      <c r="F22" s="17">
        <f>(+F29-F30)/F21</f>
        <v>1.5159010600706713</v>
      </c>
      <c r="G22" s="17">
        <f>(+G29-G30)/G21</f>
        <v>0.2843655589123867</v>
      </c>
    </row>
    <row r="23" spans="3:7" ht="12.75">
      <c r="C23" s="61" t="s">
        <v>31</v>
      </c>
      <c r="D23" s="61" t="s">
        <v>72</v>
      </c>
      <c r="E23" s="47">
        <f>(+E17-E20)/E8*100</f>
        <v>4.445647709025729</v>
      </c>
      <c r="F23" s="47">
        <f>(+F17-F20)/F8*100</f>
        <v>3.503404368202317</v>
      </c>
      <c r="G23" s="47">
        <f>(+G17-G20)/G8*100</f>
        <v>5.577907442124997</v>
      </c>
    </row>
    <row r="24" spans="3:7" ht="12.75">
      <c r="C24" s="61" t="s">
        <v>74</v>
      </c>
      <c r="D24" s="61" t="s">
        <v>73</v>
      </c>
      <c r="E24" s="19">
        <f>(+E17-E20-E21)/E8*100</f>
        <v>0</v>
      </c>
      <c r="F24" s="19">
        <f>(+F17-F20-F21)/F8*100</f>
        <v>0</v>
      </c>
      <c r="G24" s="19">
        <f>(+G17-G20-G21)/G8*100</f>
        <v>0</v>
      </c>
    </row>
    <row r="25" spans="2:7" ht="12.75">
      <c r="B25" s="2"/>
      <c r="C25" s="10" t="s">
        <v>40</v>
      </c>
      <c r="D25" s="10" t="s">
        <v>36</v>
      </c>
      <c r="E25" s="11">
        <v>24783</v>
      </c>
      <c r="F25" s="11">
        <v>25861</v>
      </c>
      <c r="G25" s="11">
        <v>26342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0</v>
      </c>
    </row>
    <row r="27" spans="2:7" ht="12.75">
      <c r="B27" s="2"/>
      <c r="C27" s="10" t="s">
        <v>38</v>
      </c>
      <c r="D27" s="10" t="s">
        <v>37</v>
      </c>
      <c r="E27" s="11">
        <v>3924</v>
      </c>
      <c r="F27" s="11">
        <v>4916</v>
      </c>
      <c r="G27" s="11">
        <v>6278</v>
      </c>
    </row>
    <row r="28" spans="2:7" ht="12.75">
      <c r="B28" s="2"/>
      <c r="C28" s="10" t="s">
        <v>39</v>
      </c>
      <c r="D28" s="10" t="s">
        <v>45</v>
      </c>
      <c r="E28" s="11">
        <v>339</v>
      </c>
      <c r="F28" s="11">
        <v>1675</v>
      </c>
      <c r="G28" s="11">
        <v>0</v>
      </c>
    </row>
    <row r="29" spans="2:7" ht="12.75">
      <c r="B29" s="2"/>
      <c r="C29" s="10" t="s">
        <v>42</v>
      </c>
      <c r="D29" s="10" t="s">
        <v>46</v>
      </c>
      <c r="E29" s="11">
        <v>2429</v>
      </c>
      <c r="F29" s="11">
        <v>3003</v>
      </c>
      <c r="G29" s="11">
        <v>753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0</v>
      </c>
      <c r="G30" s="11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6" ht="12.75">
      <c r="D40" s="24" t="s">
        <v>75</v>
      </c>
      <c r="E40" s="24"/>
      <c r="F40" s="24"/>
    </row>
    <row r="41" spans="4:6" ht="12.75">
      <c r="D41" s="24"/>
      <c r="E41" s="24"/>
      <c r="F41" s="24"/>
    </row>
    <row r="42" spans="4:6" ht="12.75">
      <c r="D42" s="24" t="s">
        <v>76</v>
      </c>
      <c r="E42" s="24"/>
      <c r="F42" s="24"/>
    </row>
    <row r="43" spans="4:6" ht="12.75">
      <c r="D43" s="24" t="s">
        <v>77</v>
      </c>
      <c r="E43" s="24"/>
      <c r="F43" s="24"/>
    </row>
    <row r="44" spans="4:6" ht="12.75">
      <c r="D44" s="24"/>
      <c r="E44" s="24"/>
      <c r="F44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2" ht="12.75">
      <c r="D52" t="s">
        <v>105</v>
      </c>
    </row>
    <row r="53" ht="12.75">
      <c r="D53" t="s">
        <v>106</v>
      </c>
    </row>
    <row r="54" ht="12.75">
      <c r="D54" t="s">
        <v>104</v>
      </c>
    </row>
  </sheetData>
  <printOptions/>
  <pageMargins left="0.75" right="0.75" top="1" bottom="0.23" header="0" footer="0"/>
  <pageSetup horizontalDpi="1200" verticalDpi="1200" orientation="portrait" paperSize="9" r:id="rId1"/>
  <headerFooter alignWithMargins="0">
    <oddFooter>&amp;C-12-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G55"/>
  <sheetViews>
    <sheetView workbookViewId="0" topLeftCell="B1">
      <selection activeCell="H16" sqref="H16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51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39</v>
      </c>
      <c r="F6" s="13">
        <v>37</v>
      </c>
      <c r="G6" s="13">
        <v>36</v>
      </c>
    </row>
    <row r="7" spans="3:7" ht="12.75">
      <c r="C7" s="61" t="s">
        <v>1</v>
      </c>
      <c r="D7" s="61" t="s">
        <v>10</v>
      </c>
      <c r="E7" s="11">
        <v>251420</v>
      </c>
      <c r="F7" s="11">
        <v>271753</v>
      </c>
      <c r="G7" s="11">
        <v>283883</v>
      </c>
    </row>
    <row r="8" spans="2:7" ht="12.75">
      <c r="B8" s="2">
        <v>190279</v>
      </c>
      <c r="C8" s="61" t="s">
        <v>2</v>
      </c>
      <c r="D8" s="61" t="s">
        <v>11</v>
      </c>
      <c r="E8" s="11">
        <v>207588</v>
      </c>
      <c r="F8" s="11">
        <v>222662</v>
      </c>
      <c r="G8" s="11">
        <v>223036</v>
      </c>
    </row>
    <row r="9" spans="3:7" ht="12.75">
      <c r="C9" s="61" t="s">
        <v>3</v>
      </c>
      <c r="D9" s="61" t="s">
        <v>12</v>
      </c>
      <c r="E9" s="11">
        <v>62644</v>
      </c>
      <c r="F9" s="11">
        <v>62644</v>
      </c>
      <c r="G9" s="11">
        <v>62644</v>
      </c>
    </row>
    <row r="10" spans="3:7" ht="12.75">
      <c r="C10" s="61" t="s">
        <v>4</v>
      </c>
      <c r="D10" s="61" t="s">
        <v>13</v>
      </c>
      <c r="E10" s="11">
        <v>131</v>
      </c>
      <c r="F10" s="11">
        <v>730</v>
      </c>
      <c r="G10" s="11">
        <v>1272</v>
      </c>
    </row>
    <row r="11" spans="3:7" ht="12.75">
      <c r="C11" s="61" t="s">
        <v>5</v>
      </c>
      <c r="D11" s="61" t="s">
        <v>14</v>
      </c>
      <c r="E11" s="11">
        <f>216568+458+2196</f>
        <v>219222</v>
      </c>
      <c r="F11" s="11">
        <f>212878+6883+2858+188+323</f>
        <v>223130</v>
      </c>
      <c r="G11" s="11">
        <f>217297+769+1524+451</f>
        <v>220041</v>
      </c>
    </row>
    <row r="12" spans="3:7" ht="12.75">
      <c r="C12" s="61" t="s">
        <v>6</v>
      </c>
      <c r="D12" s="61" t="s">
        <v>15</v>
      </c>
      <c r="E12" s="11">
        <v>528</v>
      </c>
      <c r="F12" s="11">
        <v>542</v>
      </c>
      <c r="G12" s="11">
        <v>374</v>
      </c>
    </row>
    <row r="13" spans="3:7" ht="12.75">
      <c r="C13" s="61" t="s">
        <v>8</v>
      </c>
      <c r="D13" s="61" t="s">
        <v>16</v>
      </c>
      <c r="E13" s="11"/>
      <c r="F13" s="11"/>
      <c r="G13" s="11"/>
    </row>
    <row r="14" spans="3:7" ht="12.75">
      <c r="C14" s="61" t="s">
        <v>9</v>
      </c>
      <c r="D14" s="61" t="s">
        <v>17</v>
      </c>
      <c r="E14" s="20">
        <f>(+E25-E27-E28)/E6</f>
        <v>4112.48717948718</v>
      </c>
      <c r="F14" s="16">
        <f>(+F25-F27-F28)/F6</f>
        <v>4201.513513513513</v>
      </c>
      <c r="G14" s="16">
        <f>(+G25-G26-G27-G28)/G6</f>
        <v>4296.75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25">
        <f>(+E12/((E8+B8)/2))*100</f>
        <v>0.26541532723246714</v>
      </c>
      <c r="F16" s="25">
        <f>(+F12/((F8+E8)/2))*100</f>
        <v>0.25194654270772804</v>
      </c>
      <c r="G16" s="25">
        <f>(+G12/((G8+F8)/2))*100</f>
        <v>0.16782664494792437</v>
      </c>
    </row>
    <row r="17" spans="3:7" ht="12.75">
      <c r="C17" s="61" t="s">
        <v>20</v>
      </c>
      <c r="D17" s="61" t="s">
        <v>21</v>
      </c>
      <c r="E17" s="12">
        <f>SUM(E18:E19)+E21+E20</f>
        <v>21968</v>
      </c>
      <c r="F17" s="12">
        <f>SUM(F18:F19)+F21+F20</f>
        <v>20745</v>
      </c>
      <c r="G17" s="12">
        <f>SUM(G18:G19)+G21+G20</f>
        <v>19696</v>
      </c>
    </row>
    <row r="18" spans="3:7" ht="12.75">
      <c r="C18" s="61" t="s">
        <v>22</v>
      </c>
      <c r="D18" s="61" t="s">
        <v>23</v>
      </c>
      <c r="E18" s="11">
        <v>0</v>
      </c>
      <c r="F18" s="11">
        <v>0</v>
      </c>
      <c r="G18" s="11">
        <v>0</v>
      </c>
    </row>
    <row r="19" spans="3:7" ht="12.75">
      <c r="C19" s="61" t="s">
        <v>24</v>
      </c>
      <c r="D19" s="61" t="s">
        <v>25</v>
      </c>
      <c r="E19" s="11">
        <v>0</v>
      </c>
      <c r="F19" s="11">
        <v>0</v>
      </c>
      <c r="G19" s="11">
        <v>0</v>
      </c>
    </row>
    <row r="20" spans="3:7" ht="12.75">
      <c r="C20" s="61" t="s">
        <v>26</v>
      </c>
      <c r="D20" s="61" t="s">
        <v>79</v>
      </c>
      <c r="E20" s="11">
        <v>0</v>
      </c>
      <c r="F20" s="11">
        <v>0</v>
      </c>
      <c r="G20" s="11">
        <v>0</v>
      </c>
    </row>
    <row r="21" spans="3:7" ht="12.75">
      <c r="C21" s="61" t="s">
        <v>27</v>
      </c>
      <c r="D21" s="61" t="s">
        <v>28</v>
      </c>
      <c r="E21" s="11">
        <v>21968</v>
      </c>
      <c r="F21" s="11">
        <v>20745</v>
      </c>
      <c r="G21" s="11">
        <v>19696</v>
      </c>
    </row>
    <row r="22" spans="3:7" ht="12.75">
      <c r="C22" s="61" t="s">
        <v>29</v>
      </c>
      <c r="D22" s="61" t="s">
        <v>30</v>
      </c>
      <c r="E22" s="17">
        <f>(+E29-E30)/E21</f>
        <v>2.354652221412964</v>
      </c>
      <c r="F22" s="17">
        <f>(+F29-F30)/F21</f>
        <v>3.6161966738973246</v>
      </c>
      <c r="G22" s="17">
        <f>(+G29-G30)/G21</f>
        <v>4.7755889520714865</v>
      </c>
    </row>
    <row r="23" spans="3:7" ht="12.75">
      <c r="C23" s="61" t="s">
        <v>31</v>
      </c>
      <c r="D23" s="61" t="s">
        <v>72</v>
      </c>
      <c r="E23" s="19">
        <f>(+E17-E20)/E8*100</f>
        <v>10.582499951827659</v>
      </c>
      <c r="F23" s="19">
        <f>(+F17-F20)/F8*100</f>
        <v>9.31681202899462</v>
      </c>
      <c r="G23" s="19">
        <f>(+G17-G20)/G8*100</f>
        <v>8.83086138560591</v>
      </c>
    </row>
    <row r="24" spans="3:7" ht="12.75">
      <c r="C24" s="61" t="s">
        <v>74</v>
      </c>
      <c r="D24" s="61" t="s">
        <v>73</v>
      </c>
      <c r="E24" s="19">
        <f>(+E17-E20-E21)/E8*100</f>
        <v>0</v>
      </c>
      <c r="F24" s="19">
        <f>(+F17-F20-F21)/F8*100</f>
        <v>0</v>
      </c>
      <c r="G24" s="19">
        <f>(+G17-G20-G21)/G8*100</f>
        <v>0</v>
      </c>
    </row>
    <row r="25" spans="2:7" ht="12.75">
      <c r="B25" s="2"/>
      <c r="C25" s="10" t="s">
        <v>40</v>
      </c>
      <c r="D25" s="10" t="s">
        <v>36</v>
      </c>
      <c r="E25" s="11">
        <v>216568</v>
      </c>
      <c r="F25" s="11">
        <f>212878+6883</f>
        <v>219761</v>
      </c>
      <c r="G25" s="11">
        <f>217297+769</f>
        <v>218066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0</v>
      </c>
    </row>
    <row r="27" spans="2:7" ht="12.75">
      <c r="B27" s="2"/>
      <c r="C27" s="10" t="s">
        <v>38</v>
      </c>
      <c r="D27" s="10" t="s">
        <v>37</v>
      </c>
      <c r="E27" s="11">
        <v>52659</v>
      </c>
      <c r="F27" s="11">
        <v>59865</v>
      </c>
      <c r="G27" s="11">
        <v>58972</v>
      </c>
    </row>
    <row r="28" spans="2:7" ht="12.75">
      <c r="B28" s="2"/>
      <c r="C28" s="10" t="s">
        <v>39</v>
      </c>
      <c r="D28" s="10" t="s">
        <v>45</v>
      </c>
      <c r="E28" s="11">
        <v>3522</v>
      </c>
      <c r="F28" s="11">
        <v>4440</v>
      </c>
      <c r="G28" s="11">
        <v>4411</v>
      </c>
    </row>
    <row r="29" spans="2:7" ht="12.75">
      <c r="B29" s="2"/>
      <c r="C29" s="10" t="s">
        <v>42</v>
      </c>
      <c r="D29" s="10" t="s">
        <v>46</v>
      </c>
      <c r="E29" s="11">
        <v>51727</v>
      </c>
      <c r="F29" s="11">
        <v>75018</v>
      </c>
      <c r="G29" s="11">
        <v>94060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0</v>
      </c>
      <c r="G30" s="11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5" ht="12.75">
      <c r="D40" s="24" t="s">
        <v>75</v>
      </c>
      <c r="E40" s="24"/>
    </row>
    <row r="41" spans="4:5" ht="12.75">
      <c r="D41" s="24"/>
      <c r="E41" s="24"/>
    </row>
    <row r="42" spans="4:5" ht="12.75">
      <c r="D42" s="24" t="s">
        <v>76</v>
      </c>
      <c r="E42" s="24"/>
    </row>
    <row r="43" spans="4:5" ht="12.75">
      <c r="D43" s="24" t="s">
        <v>77</v>
      </c>
      <c r="E43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3" ht="12.75">
      <c r="D53" t="s">
        <v>105</v>
      </c>
    </row>
    <row r="54" ht="12.75">
      <c r="D54" t="s">
        <v>106</v>
      </c>
    </row>
    <row r="55" ht="12.75">
      <c r="D55" t="s">
        <v>104</v>
      </c>
    </row>
  </sheetData>
  <printOptions/>
  <pageMargins left="0.75" right="0.75" top="1" bottom="0.23" header="0" footer="0"/>
  <pageSetup horizontalDpi="1200" verticalDpi="1200" orientation="portrait" paperSize="9" r:id="rId1"/>
  <headerFooter alignWithMargins="0"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B1">
      <selection activeCell="I22" sqref="I22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  <col min="5" max="5" width="10.28125" style="0" customWidth="1"/>
    <col min="6" max="8" width="10.140625" style="0" customWidth="1"/>
    <col min="9" max="9" width="14.8515625" style="0" customWidth="1"/>
    <col min="10" max="10" width="10.140625" style="0" customWidth="1"/>
  </cols>
  <sheetData>
    <row r="2" ht="12.75">
      <c r="D2" t="s">
        <v>18</v>
      </c>
    </row>
    <row r="3" ht="13.5" thickBot="1">
      <c r="D3" s="39" t="s">
        <v>54</v>
      </c>
    </row>
    <row r="4" spans="2:9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  <c r="H4" s="31"/>
      <c r="I4" s="31"/>
    </row>
    <row r="5" spans="2:9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  <c r="H5" s="31"/>
      <c r="I5" s="31"/>
    </row>
    <row r="6" spans="3:9" ht="12.75">
      <c r="C6" s="60" t="s">
        <v>0</v>
      </c>
      <c r="D6" s="60" t="s">
        <v>80</v>
      </c>
      <c r="E6" s="13">
        <v>167</v>
      </c>
      <c r="F6" s="13">
        <v>169</v>
      </c>
      <c r="G6" s="13">
        <v>160</v>
      </c>
      <c r="H6" s="18"/>
      <c r="I6" s="18"/>
    </row>
    <row r="7" spans="3:9" ht="12.75">
      <c r="C7" s="61" t="s">
        <v>1</v>
      </c>
      <c r="D7" s="61" t="s">
        <v>10</v>
      </c>
      <c r="E7" s="11">
        <v>13553488</v>
      </c>
      <c r="F7" s="11">
        <v>14518809</v>
      </c>
      <c r="G7" s="11">
        <v>14150137</v>
      </c>
      <c r="H7" s="18"/>
      <c r="I7" s="18"/>
    </row>
    <row r="8" spans="2:9" ht="12.75">
      <c r="B8" s="2">
        <v>879663</v>
      </c>
      <c r="C8" s="61" t="s">
        <v>2</v>
      </c>
      <c r="D8" s="61" t="s">
        <v>11</v>
      </c>
      <c r="E8" s="11">
        <v>948262</v>
      </c>
      <c r="F8" s="11">
        <v>1003180</v>
      </c>
      <c r="G8" s="11">
        <v>1004906</v>
      </c>
      <c r="H8" s="18"/>
      <c r="I8" s="18"/>
    </row>
    <row r="9" spans="3:9" ht="12.75">
      <c r="C9" s="61" t="s">
        <v>3</v>
      </c>
      <c r="D9" s="61" t="s">
        <v>12</v>
      </c>
      <c r="E9" s="11">
        <v>317210</v>
      </c>
      <c r="F9" s="11">
        <v>317210</v>
      </c>
      <c r="G9" s="11">
        <v>317210</v>
      </c>
      <c r="H9" s="18"/>
      <c r="I9" s="18"/>
    </row>
    <row r="10" spans="3:9" ht="12.75">
      <c r="C10" s="61" t="s">
        <v>4</v>
      </c>
      <c r="D10" s="61" t="s">
        <v>13</v>
      </c>
      <c r="E10" s="11">
        <v>74643</v>
      </c>
      <c r="F10" s="28">
        <v>87062</v>
      </c>
      <c r="G10" s="11">
        <v>0</v>
      </c>
      <c r="H10" s="18"/>
      <c r="I10" s="18"/>
    </row>
    <row r="11" spans="3:9" ht="12.75">
      <c r="C11" s="61" t="s">
        <v>5</v>
      </c>
      <c r="D11" s="61" t="s">
        <v>14</v>
      </c>
      <c r="E11" s="11">
        <f>2407447+28975+7591</f>
        <v>2444013</v>
      </c>
      <c r="F11" s="11">
        <f>2506508+26656+644368</f>
        <v>3177532</v>
      </c>
      <c r="G11" s="11">
        <f>2477634+1510+29369+677822</f>
        <v>3186335</v>
      </c>
      <c r="H11" s="18"/>
      <c r="I11" s="18"/>
    </row>
    <row r="12" spans="3:10" ht="12.75">
      <c r="C12" s="61" t="s">
        <v>6</v>
      </c>
      <c r="D12" s="61" t="s">
        <v>15</v>
      </c>
      <c r="E12" s="11">
        <v>31762</v>
      </c>
      <c r="F12" s="11">
        <v>32256</v>
      </c>
      <c r="G12" s="11">
        <v>48799</v>
      </c>
      <c r="H12" s="18"/>
      <c r="I12" s="18"/>
      <c r="J12" s="21"/>
    </row>
    <row r="13" spans="3:13" ht="12.75">
      <c r="C13" s="61" t="s">
        <v>8</v>
      </c>
      <c r="D13" s="61" t="s">
        <v>16</v>
      </c>
      <c r="E13" s="11">
        <v>26744</v>
      </c>
      <c r="F13" s="11">
        <v>28705</v>
      </c>
      <c r="G13" s="11">
        <v>30014</v>
      </c>
      <c r="H13" s="18"/>
      <c r="J13" s="37"/>
      <c r="K13" s="37"/>
      <c r="L13" s="37"/>
      <c r="M13" s="37"/>
    </row>
    <row r="14" spans="3:9" ht="12.75">
      <c r="C14" s="61" t="s">
        <v>9</v>
      </c>
      <c r="D14" s="61" t="s">
        <v>17</v>
      </c>
      <c r="E14" s="20">
        <f>(+E25-E27-E28)/E6</f>
        <v>5466.5329341317365</v>
      </c>
      <c r="F14" s="16">
        <f>(+F25-F27-F28)/F6</f>
        <v>6094.94674556213</v>
      </c>
      <c r="G14" s="16">
        <f>(+G25-G26-G27-G28)/G6</f>
        <v>6901.48125</v>
      </c>
      <c r="H14" s="32"/>
      <c r="I14" s="32"/>
    </row>
    <row r="15" spans="3:9" ht="12.75">
      <c r="C15" s="61"/>
      <c r="D15" s="61"/>
      <c r="E15" s="12"/>
      <c r="F15" s="12"/>
      <c r="G15" s="12"/>
      <c r="H15" s="33"/>
      <c r="I15" s="33"/>
    </row>
    <row r="16" spans="3:9" ht="12.75">
      <c r="C16" s="61" t="s">
        <v>19</v>
      </c>
      <c r="D16" s="61" t="s">
        <v>49</v>
      </c>
      <c r="E16" s="25">
        <f>(+E12/((E8+B8)/2))*100</f>
        <v>3.4751972865407494</v>
      </c>
      <c r="F16" s="25">
        <f>(+F12/((F8+E8)/2))*100</f>
        <v>3.3058630489658416</v>
      </c>
      <c r="G16" s="25">
        <f>(+G12/((G8+F8)/2))*100</f>
        <v>4.860250009212753</v>
      </c>
      <c r="H16" s="34"/>
      <c r="I16" s="34"/>
    </row>
    <row r="17" spans="3:9" ht="12.75">
      <c r="C17" s="61" t="s">
        <v>20</v>
      </c>
      <c r="D17" s="61" t="s">
        <v>21</v>
      </c>
      <c r="E17" s="12">
        <f>SUM(E18:E19)+E21</f>
        <v>12549834</v>
      </c>
      <c r="F17" s="12">
        <f>SUM(F18:F19)+F21</f>
        <v>13325019</v>
      </c>
      <c r="G17" s="12">
        <f>SUM(G18:G19)+G21</f>
        <v>13058225</v>
      </c>
      <c r="H17" s="33"/>
      <c r="I17" s="33"/>
    </row>
    <row r="18" spans="3:9" ht="12.75">
      <c r="C18" s="61" t="s">
        <v>22</v>
      </c>
      <c r="D18" s="61" t="s">
        <v>23</v>
      </c>
      <c r="E18" s="11">
        <v>0</v>
      </c>
      <c r="F18" s="11">
        <v>0</v>
      </c>
      <c r="G18" s="11">
        <v>0</v>
      </c>
      <c r="H18" s="18"/>
      <c r="I18" s="18"/>
    </row>
    <row r="19" spans="3:9" ht="12.75">
      <c r="C19" s="61" t="s">
        <v>24</v>
      </c>
      <c r="D19" s="61" t="s">
        <v>25</v>
      </c>
      <c r="E19" s="11">
        <v>11799359</v>
      </c>
      <c r="F19" s="11">
        <v>12421933</v>
      </c>
      <c r="G19" s="11">
        <v>12333018</v>
      </c>
      <c r="H19" s="18"/>
      <c r="I19" s="18"/>
    </row>
    <row r="20" spans="3:9" ht="12.75">
      <c r="C20" s="61" t="s">
        <v>26</v>
      </c>
      <c r="D20" s="61" t="s">
        <v>53</v>
      </c>
      <c r="E20" s="11">
        <v>11799359</v>
      </c>
      <c r="F20" s="11">
        <v>12421933</v>
      </c>
      <c r="G20" s="11">
        <v>12333018</v>
      </c>
      <c r="H20" s="18"/>
      <c r="I20" s="18"/>
    </row>
    <row r="21" spans="3:9" ht="12.75">
      <c r="C21" s="61" t="s">
        <v>27</v>
      </c>
      <c r="D21" s="61" t="s">
        <v>28</v>
      </c>
      <c r="E21" s="11">
        <v>750475</v>
      </c>
      <c r="F21" s="11">
        <v>903086</v>
      </c>
      <c r="G21" s="11">
        <v>725207</v>
      </c>
      <c r="H21" s="18"/>
      <c r="I21" s="18"/>
    </row>
    <row r="22" spans="3:10" ht="12.75">
      <c r="C22" s="61" t="s">
        <v>29</v>
      </c>
      <c r="D22" s="61" t="s">
        <v>30</v>
      </c>
      <c r="E22" s="17">
        <f>(+E29-E30)/E21</f>
        <v>1.4330830474033112</v>
      </c>
      <c r="F22" s="17">
        <f>(+F29-F30)/F21</f>
        <v>1.4576618395147305</v>
      </c>
      <c r="G22" s="17">
        <f>(+G29-G30)/G21</f>
        <v>1.569458099549508</v>
      </c>
      <c r="H22" s="35"/>
      <c r="I22" s="35"/>
      <c r="J22" s="21"/>
    </row>
    <row r="23" spans="3:10" ht="12.75">
      <c r="C23" s="61" t="s">
        <v>31</v>
      </c>
      <c r="D23" s="61" t="s">
        <v>72</v>
      </c>
      <c r="E23" s="47">
        <f>(+E17-E20)/E8*100</f>
        <v>79.14215691443925</v>
      </c>
      <c r="F23" s="47">
        <f>(+F17-F20)/F8*100</f>
        <v>90.02232899379972</v>
      </c>
      <c r="G23" s="47">
        <f>(+G17-G20)/G8*100</f>
        <v>72.16665041307347</v>
      </c>
      <c r="H23" s="36"/>
      <c r="I23" s="36"/>
      <c r="J23" s="21"/>
    </row>
    <row r="24" spans="3:10" ht="12.75">
      <c r="C24" s="61" t="s">
        <v>74</v>
      </c>
      <c r="D24" s="61" t="s">
        <v>73</v>
      </c>
      <c r="E24" s="19">
        <f>(+E17-E20-E21)/E8*100</f>
        <v>0</v>
      </c>
      <c r="F24" s="19">
        <f>(+F17-F20-F21)/F8*100</f>
        <v>0</v>
      </c>
      <c r="G24" s="19">
        <f>(+G17-G20-G21)/G8*100</f>
        <v>0</v>
      </c>
      <c r="H24" s="36"/>
      <c r="I24" s="36"/>
      <c r="J24" s="21"/>
    </row>
    <row r="25" spans="2:9" ht="12.75">
      <c r="B25" s="2"/>
      <c r="C25" s="10" t="s">
        <v>40</v>
      </c>
      <c r="D25" s="10" t="s">
        <v>36</v>
      </c>
      <c r="E25" s="11">
        <v>2407447</v>
      </c>
      <c r="F25" s="11">
        <v>2506508</v>
      </c>
      <c r="G25" s="11">
        <v>2477634</v>
      </c>
      <c r="H25" s="18"/>
      <c r="I25" s="18"/>
    </row>
    <row r="26" spans="2:9" ht="12.75">
      <c r="B26" s="2"/>
      <c r="C26" s="10" t="s">
        <v>41</v>
      </c>
      <c r="D26" s="10" t="s">
        <v>48</v>
      </c>
      <c r="E26" s="26">
        <v>-2163</v>
      </c>
      <c r="F26" s="26">
        <v>4570</v>
      </c>
      <c r="G26" s="26">
        <v>2563</v>
      </c>
      <c r="H26" s="18"/>
      <c r="I26" s="18"/>
    </row>
    <row r="27" spans="2:9" ht="12.75">
      <c r="B27" s="2"/>
      <c r="C27" s="10" t="s">
        <v>38</v>
      </c>
      <c r="D27" s="10" t="s">
        <v>37</v>
      </c>
      <c r="E27" s="11">
        <v>1139541</v>
      </c>
      <c r="F27" s="11">
        <v>1112752</v>
      </c>
      <c r="G27" s="11">
        <v>1018218</v>
      </c>
      <c r="H27" s="18"/>
      <c r="I27" s="18"/>
    </row>
    <row r="28" spans="2:9" ht="12.75">
      <c r="B28" s="2"/>
      <c r="C28" s="10" t="s">
        <v>39</v>
      </c>
      <c r="D28" s="10" t="s">
        <v>45</v>
      </c>
      <c r="E28" s="11">
        <f>4500+350495</f>
        <v>354995</v>
      </c>
      <c r="F28" s="11">
        <v>363710</v>
      </c>
      <c r="G28" s="11">
        <v>352616</v>
      </c>
      <c r="H28" s="18"/>
      <c r="I28" s="18"/>
    </row>
    <row r="29" spans="2:9" ht="12.75">
      <c r="B29" s="2"/>
      <c r="C29" s="10" t="s">
        <v>42</v>
      </c>
      <c r="D29" s="10" t="s">
        <v>46</v>
      </c>
      <c r="E29" s="11">
        <v>1096155</v>
      </c>
      <c r="F29" s="11">
        <v>1333368</v>
      </c>
      <c r="G29" s="11">
        <v>1156629</v>
      </c>
      <c r="H29" s="18"/>
      <c r="I29" s="18"/>
    </row>
    <row r="30" spans="2:9" ht="12.75">
      <c r="B30" s="2"/>
      <c r="C30" s="10" t="s">
        <v>43</v>
      </c>
      <c r="D30" s="10" t="s">
        <v>47</v>
      </c>
      <c r="E30" s="11">
        <v>20662</v>
      </c>
      <c r="F30" s="11">
        <v>16974</v>
      </c>
      <c r="G30" s="11">
        <v>18447</v>
      </c>
      <c r="H30" s="18"/>
      <c r="I30" s="18"/>
    </row>
    <row r="31" spans="2:9" ht="12.75">
      <c r="B31" s="2"/>
      <c r="C31" s="9"/>
      <c r="D31" s="9"/>
      <c r="E31" s="18"/>
      <c r="F31" s="18"/>
      <c r="G31" s="18"/>
      <c r="H31" s="18"/>
      <c r="I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5" ht="12.75">
      <c r="D40" s="24" t="s">
        <v>75</v>
      </c>
      <c r="E40" s="24"/>
    </row>
    <row r="41" spans="4:5" ht="12.75">
      <c r="D41" s="24"/>
      <c r="E41" s="24"/>
    </row>
    <row r="42" spans="4:5" ht="12.75">
      <c r="D42" s="24" t="s">
        <v>76</v>
      </c>
      <c r="E42" s="24"/>
    </row>
    <row r="43" spans="4:5" ht="12.75">
      <c r="D43" s="24" t="s">
        <v>77</v>
      </c>
      <c r="E43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1" spans="5:7" ht="12.75">
      <c r="E51" s="58" t="s">
        <v>7</v>
      </c>
      <c r="F51" s="58" t="s">
        <v>7</v>
      </c>
      <c r="G51" s="58" t="s">
        <v>7</v>
      </c>
    </row>
    <row r="52" spans="5:7" ht="12.75">
      <c r="E52" s="58">
        <v>1997</v>
      </c>
      <c r="F52" s="58">
        <v>1998</v>
      </c>
      <c r="G52" s="58">
        <v>1999</v>
      </c>
    </row>
    <row r="53" spans="4:7" ht="12.75">
      <c r="D53" s="29" t="s">
        <v>16</v>
      </c>
      <c r="E53" s="59">
        <v>49500</v>
      </c>
      <c r="F53" s="59">
        <f>16500+45140</f>
        <v>61640</v>
      </c>
      <c r="G53" s="59">
        <f>15047+25490+8497</f>
        <v>49034</v>
      </c>
    </row>
    <row r="55" ht="12.75">
      <c r="D55" t="s">
        <v>105</v>
      </c>
    </row>
    <row r="56" ht="12.75">
      <c r="D56" t="s">
        <v>106</v>
      </c>
    </row>
    <row r="57" ht="12.75">
      <c r="D57" t="s">
        <v>104</v>
      </c>
    </row>
  </sheetData>
  <printOptions/>
  <pageMargins left="0.75" right="0.75" top="0.97" bottom="0.21" header="0" footer="0"/>
  <pageSetup horizontalDpi="1200" verticalDpi="1200" orientation="portrait" paperSize="9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G54"/>
  <sheetViews>
    <sheetView workbookViewId="0" topLeftCell="B1">
      <selection activeCell="H14" sqref="H14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55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18</v>
      </c>
      <c r="F6" s="13">
        <v>19</v>
      </c>
      <c r="G6" s="13">
        <v>20</v>
      </c>
    </row>
    <row r="7" spans="3:7" ht="12.75">
      <c r="C7" s="61" t="s">
        <v>1</v>
      </c>
      <c r="D7" s="61" t="s">
        <v>10</v>
      </c>
      <c r="E7" s="11">
        <v>316875</v>
      </c>
      <c r="F7" s="11">
        <v>345383</v>
      </c>
      <c r="G7" s="11">
        <v>367584</v>
      </c>
    </row>
    <row r="8" spans="2:7" ht="12.75">
      <c r="B8" s="2">
        <v>73331</v>
      </c>
      <c r="C8" s="61" t="s">
        <v>2</v>
      </c>
      <c r="D8" s="61" t="s">
        <v>11</v>
      </c>
      <c r="E8" s="11">
        <v>81071</v>
      </c>
      <c r="F8" s="11">
        <v>81075</v>
      </c>
      <c r="G8" s="11">
        <v>57359</v>
      </c>
    </row>
    <row r="9" spans="3:7" ht="12.75">
      <c r="C9" s="61" t="s">
        <v>3</v>
      </c>
      <c r="D9" s="61" t="s">
        <v>12</v>
      </c>
      <c r="E9" s="11">
        <v>26250</v>
      </c>
      <c r="F9" s="11">
        <v>26250</v>
      </c>
      <c r="G9" s="11">
        <v>26250</v>
      </c>
    </row>
    <row r="10" spans="3:7" ht="12.75">
      <c r="C10" s="61" t="s">
        <v>4</v>
      </c>
      <c r="D10" s="61" t="s">
        <v>13</v>
      </c>
      <c r="E10" s="11">
        <v>577</v>
      </c>
      <c r="F10" s="11">
        <f>3310-1451</f>
        <v>1859</v>
      </c>
      <c r="G10" s="11">
        <v>0</v>
      </c>
    </row>
    <row r="11" spans="3:7" ht="12.75">
      <c r="C11" s="61" t="s">
        <v>5</v>
      </c>
      <c r="D11" s="61" t="s">
        <v>14</v>
      </c>
      <c r="E11" s="11">
        <f>179455+2943+1499</f>
        <v>183897</v>
      </c>
      <c r="F11" s="11">
        <f>194297+5322+2545</f>
        <v>202164</v>
      </c>
      <c r="G11" s="11">
        <f>199635+1603+5341</f>
        <v>206579</v>
      </c>
    </row>
    <row r="12" spans="3:7" ht="12.75">
      <c r="C12" s="61" t="s">
        <v>6</v>
      </c>
      <c r="D12" s="61" t="s">
        <v>15</v>
      </c>
      <c r="E12" s="11">
        <v>1214</v>
      </c>
      <c r="F12" s="26">
        <v>-5671</v>
      </c>
      <c r="G12" s="26">
        <v>-23716</v>
      </c>
    </row>
    <row r="13" spans="3:7" ht="12.75">
      <c r="C13" s="61" t="s">
        <v>8</v>
      </c>
      <c r="D13" s="61" t="s">
        <v>16</v>
      </c>
      <c r="E13" s="11"/>
      <c r="F13" s="11"/>
      <c r="G13" s="11"/>
    </row>
    <row r="14" spans="3:7" ht="12.75">
      <c r="C14" s="61" t="s">
        <v>9</v>
      </c>
      <c r="D14" s="61" t="s">
        <v>17</v>
      </c>
      <c r="E14" s="20">
        <f>(+E25-E27-E28)/E6</f>
        <v>4633.666666666667</v>
      </c>
      <c r="F14" s="16">
        <f>(+F25-F27-F28)/F6</f>
        <v>4556.315789473684</v>
      </c>
      <c r="G14" s="16">
        <f>(+G25-G26-G27-G28)/G6</f>
        <v>4050.45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38">
        <f>(+E12/((E8+B8)/2))*100</f>
        <v>1.572518490693126</v>
      </c>
      <c r="F16" s="38">
        <f>(+F12/((F8+E8)/2))*100</f>
        <v>-6.994930494739308</v>
      </c>
      <c r="G16" s="38">
        <f>(+G12/((G8+F8)/2))*100</f>
        <v>-34.26325902596183</v>
      </c>
    </row>
    <row r="17" spans="3:7" ht="12.75">
      <c r="C17" s="61" t="s">
        <v>20</v>
      </c>
      <c r="D17" s="61" t="s">
        <v>21</v>
      </c>
      <c r="E17" s="12">
        <f>SUM(E18:E19)+E21+E20</f>
        <v>233130</v>
      </c>
      <c r="F17" s="12">
        <f>SUM(F18:F19)+F21+F20</f>
        <v>261159</v>
      </c>
      <c r="G17" s="12">
        <f>SUM(G18:G19)+G21+G20</f>
        <v>307739</v>
      </c>
    </row>
    <row r="18" spans="3:7" ht="12.75">
      <c r="C18" s="61" t="s">
        <v>22</v>
      </c>
      <c r="D18" s="61" t="s">
        <v>23</v>
      </c>
      <c r="E18" s="11">
        <v>159012</v>
      </c>
      <c r="F18" s="11">
        <v>157315</v>
      </c>
      <c r="G18" s="11">
        <v>141247</v>
      </c>
    </row>
    <row r="19" spans="3:7" ht="12.75">
      <c r="C19" s="61" t="s">
        <v>24</v>
      </c>
      <c r="D19" s="61" t="s">
        <v>25</v>
      </c>
      <c r="E19" s="11">
        <v>0</v>
      </c>
      <c r="F19" s="11">
        <v>0</v>
      </c>
      <c r="G19" s="11">
        <v>0</v>
      </c>
    </row>
    <row r="20" spans="3:7" ht="12.75">
      <c r="C20" s="61" t="s">
        <v>26</v>
      </c>
      <c r="D20" s="61" t="s">
        <v>79</v>
      </c>
      <c r="E20" s="11">
        <v>0</v>
      </c>
      <c r="F20" s="11">
        <v>0</v>
      </c>
      <c r="G20" s="11">
        <v>0</v>
      </c>
    </row>
    <row r="21" spans="3:7" ht="12.75">
      <c r="C21" s="61" t="s">
        <v>27</v>
      </c>
      <c r="D21" s="61" t="s">
        <v>28</v>
      </c>
      <c r="E21" s="11">
        <f>51169+22949</f>
        <v>74118</v>
      </c>
      <c r="F21" s="11">
        <v>103844</v>
      </c>
      <c r="G21" s="11">
        <v>166492</v>
      </c>
    </row>
    <row r="22" spans="3:7" ht="12.75">
      <c r="C22" s="61" t="s">
        <v>29</v>
      </c>
      <c r="D22" s="61" t="s">
        <v>30</v>
      </c>
      <c r="E22" s="17">
        <f>(+E29-E30)/E21</f>
        <v>0.52077767883645</v>
      </c>
      <c r="F22" s="17">
        <f>(+F29-F30)/F21</f>
        <v>0.4390913293016448</v>
      </c>
      <c r="G22" s="17">
        <f>(+G29-G30)/G21</f>
        <v>0.3019424356725849</v>
      </c>
    </row>
    <row r="23" spans="3:7" ht="12.75">
      <c r="C23" s="61" t="s">
        <v>31</v>
      </c>
      <c r="D23" s="61" t="s">
        <v>72</v>
      </c>
      <c r="E23" s="47">
        <f>(+E17-E20)/E8*100</f>
        <v>287.56275363570205</v>
      </c>
      <c r="F23" s="47">
        <f>(+F17-F20)/F8*100</f>
        <v>322.12025901942644</v>
      </c>
      <c r="G23" s="47">
        <f>(+G17-G20)/G8*100</f>
        <v>536.5138862253526</v>
      </c>
    </row>
    <row r="24" spans="3:7" ht="12.75">
      <c r="C24" s="61" t="s">
        <v>74</v>
      </c>
      <c r="D24" s="61" t="s">
        <v>73</v>
      </c>
      <c r="E24" s="19">
        <f>(+E17-E20-E21)/E8*100</f>
        <v>196.1391866388721</v>
      </c>
      <c r="F24" s="19">
        <f>(+F17-F20-F21)/F8*100</f>
        <v>194.03638606228802</v>
      </c>
      <c r="G24" s="19">
        <f>(+G17-G20-G21)/G8*100</f>
        <v>246.25080632507542</v>
      </c>
    </row>
    <row r="25" spans="2:7" ht="12.75">
      <c r="B25" s="2"/>
      <c r="C25" s="10" t="s">
        <v>40</v>
      </c>
      <c r="D25" s="10" t="s">
        <v>36</v>
      </c>
      <c r="E25" s="11">
        <v>179455</v>
      </c>
      <c r="F25" s="11">
        <v>194297</v>
      </c>
      <c r="G25" s="11">
        <v>199635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0</v>
      </c>
    </row>
    <row r="27" spans="2:7" ht="12.75">
      <c r="B27" s="2"/>
      <c r="C27" s="10" t="s">
        <v>38</v>
      </c>
      <c r="D27" s="10" t="s">
        <v>37</v>
      </c>
      <c r="E27" s="11">
        <v>94099</v>
      </c>
      <c r="F27" s="11">
        <v>106439</v>
      </c>
      <c r="G27" s="11">
        <v>117212</v>
      </c>
    </row>
    <row r="28" spans="2:7" ht="12.75">
      <c r="B28" s="2"/>
      <c r="C28" s="10" t="s">
        <v>39</v>
      </c>
      <c r="D28" s="10" t="s">
        <v>45</v>
      </c>
      <c r="E28" s="11">
        <v>1950</v>
      </c>
      <c r="F28" s="11">
        <v>1288</v>
      </c>
      <c r="G28" s="11">
        <v>1414</v>
      </c>
    </row>
    <row r="29" spans="2:7" ht="12.75">
      <c r="B29" s="2"/>
      <c r="C29" s="10" t="s">
        <v>42</v>
      </c>
      <c r="D29" s="10" t="s">
        <v>46</v>
      </c>
      <c r="E29" s="11">
        <v>55894</v>
      </c>
      <c r="F29" s="11">
        <v>62276</v>
      </c>
      <c r="G29" s="11">
        <v>65306</v>
      </c>
    </row>
    <row r="30" spans="2:7" ht="12.75">
      <c r="B30" s="2"/>
      <c r="C30" s="10" t="s">
        <v>43</v>
      </c>
      <c r="D30" s="10" t="s">
        <v>47</v>
      </c>
      <c r="E30" s="11">
        <v>17295</v>
      </c>
      <c r="F30" s="11">
        <v>16679</v>
      </c>
      <c r="G30" s="11">
        <v>15035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5" ht="12.75">
      <c r="D40" s="24" t="s">
        <v>75</v>
      </c>
      <c r="E40" s="24"/>
    </row>
    <row r="41" spans="4:5" ht="12.75">
      <c r="D41" s="24"/>
      <c r="E41" s="24"/>
    </row>
    <row r="42" spans="4:5" ht="12.75">
      <c r="D42" s="24" t="s">
        <v>76</v>
      </c>
      <c r="E42" s="24"/>
    </row>
    <row r="43" spans="4:5" ht="12.75">
      <c r="D43" s="24" t="s">
        <v>77</v>
      </c>
      <c r="E43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2" ht="12.75">
      <c r="D52" t="s">
        <v>105</v>
      </c>
    </row>
    <row r="53" ht="12.75">
      <c r="D53" t="s">
        <v>106</v>
      </c>
    </row>
    <row r="54" ht="12.75">
      <c r="D54" t="s">
        <v>104</v>
      </c>
    </row>
  </sheetData>
  <printOptions/>
  <pageMargins left="0.75" right="0.75" top="1" bottom="0.21" header="0" footer="0"/>
  <pageSetup horizontalDpi="1200" verticalDpi="1200" orientation="portrait" paperSize="9" r:id="rId1"/>
  <headerFooter alignWithMargins="0">
    <oddFooter>&amp;C-16-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54"/>
  <sheetViews>
    <sheetView workbookViewId="0" topLeftCell="B1">
      <selection activeCell="H18" sqref="H18"/>
    </sheetView>
  </sheetViews>
  <sheetFormatPr defaultColWidth="9.140625" defaultRowHeight="12.75"/>
  <cols>
    <col min="1" max="1" width="11.28125" style="0" hidden="1" customWidth="1"/>
    <col min="2" max="2" width="9.28125" style="0" customWidth="1"/>
    <col min="3" max="3" width="5.140625" style="0" customWidth="1"/>
    <col min="4" max="4" width="54.00390625" style="0" customWidth="1"/>
  </cols>
  <sheetData>
    <row r="2" ht="12.75">
      <c r="D2" t="s">
        <v>18</v>
      </c>
    </row>
    <row r="3" ht="13.5" thickBot="1">
      <c r="D3" s="39" t="s">
        <v>56</v>
      </c>
    </row>
    <row r="4" spans="2:7" ht="12.75">
      <c r="B4" s="1" t="s">
        <v>7</v>
      </c>
      <c r="C4" s="3"/>
      <c r="D4" s="4"/>
      <c r="E4" s="14" t="s">
        <v>7</v>
      </c>
      <c r="F4" s="14" t="s">
        <v>7</v>
      </c>
      <c r="G4" s="5" t="s">
        <v>7</v>
      </c>
    </row>
    <row r="5" spans="2:7" ht="13.5" thickBot="1">
      <c r="B5" s="1">
        <v>1999</v>
      </c>
      <c r="C5" s="6"/>
      <c r="D5" s="7"/>
      <c r="E5" s="15">
        <v>2000</v>
      </c>
      <c r="F5" s="15">
        <v>2001</v>
      </c>
      <c r="G5" s="8">
        <v>2002</v>
      </c>
    </row>
    <row r="6" spans="3:7" ht="12.75">
      <c r="C6" s="60" t="s">
        <v>0</v>
      </c>
      <c r="D6" s="60" t="s">
        <v>80</v>
      </c>
      <c r="E6" s="13">
        <v>53</v>
      </c>
      <c r="F6" s="13">
        <v>53</v>
      </c>
      <c r="G6" s="13">
        <v>53</v>
      </c>
    </row>
    <row r="7" spans="3:7" ht="12.75">
      <c r="C7" s="61" t="s">
        <v>1</v>
      </c>
      <c r="D7" s="61" t="s">
        <v>10</v>
      </c>
      <c r="E7" s="11">
        <v>299221</v>
      </c>
      <c r="F7" s="11">
        <v>600927</v>
      </c>
      <c r="G7" s="11">
        <v>472698</v>
      </c>
    </row>
    <row r="8" spans="2:7" ht="12.75">
      <c r="B8" s="2">
        <v>106174</v>
      </c>
      <c r="C8" s="61" t="s">
        <v>2</v>
      </c>
      <c r="D8" s="61" t="s">
        <v>11</v>
      </c>
      <c r="E8" s="11">
        <v>152467</v>
      </c>
      <c r="F8" s="11">
        <v>297948</v>
      </c>
      <c r="G8" s="11">
        <v>204586</v>
      </c>
    </row>
    <row r="9" spans="3:7" ht="12.75">
      <c r="C9" s="61" t="s">
        <v>3</v>
      </c>
      <c r="D9" s="61" t="s">
        <v>12</v>
      </c>
      <c r="E9" s="11">
        <v>104250</v>
      </c>
      <c r="F9" s="11">
        <v>266479</v>
      </c>
      <c r="G9" s="11">
        <v>266479</v>
      </c>
    </row>
    <row r="10" spans="3:7" ht="12.75">
      <c r="C10" s="61" t="s">
        <v>4</v>
      </c>
      <c r="D10" s="61" t="s">
        <v>13</v>
      </c>
      <c r="E10" s="26">
        <v>-11444</v>
      </c>
      <c r="F10" s="26">
        <v>25253</v>
      </c>
      <c r="G10" s="26">
        <v>0</v>
      </c>
    </row>
    <row r="11" spans="3:7" ht="12.75">
      <c r="C11" s="61" t="s">
        <v>5</v>
      </c>
      <c r="D11" s="61" t="s">
        <v>14</v>
      </c>
      <c r="E11" s="11">
        <f>436258+4592+695</f>
        <v>441545</v>
      </c>
      <c r="F11" s="11">
        <f>431733+7642+584</f>
        <v>439959</v>
      </c>
      <c r="G11" s="11">
        <f>521065+1636+2931</f>
        <v>525632</v>
      </c>
    </row>
    <row r="12" spans="3:7" ht="12.75">
      <c r="C12" s="61" t="s">
        <v>6</v>
      </c>
      <c r="D12" s="61" t="s">
        <v>15</v>
      </c>
      <c r="E12" s="26">
        <v>37307</v>
      </c>
      <c r="F12" s="26">
        <v>-29851</v>
      </c>
      <c r="G12" s="26">
        <v>-93362</v>
      </c>
    </row>
    <row r="13" spans="3:7" ht="12.75">
      <c r="C13" s="61" t="s">
        <v>8</v>
      </c>
      <c r="D13" s="61" t="s">
        <v>16</v>
      </c>
      <c r="E13" s="11"/>
      <c r="F13" s="11"/>
      <c r="G13" s="11"/>
    </row>
    <row r="14" spans="3:7" ht="12.75">
      <c r="C14" s="61" t="s">
        <v>9</v>
      </c>
      <c r="D14" s="61" t="s">
        <v>17</v>
      </c>
      <c r="E14" s="20">
        <f>(+E25-E27-E28)/E6</f>
        <v>5703.264150943396</v>
      </c>
      <c r="F14" s="16">
        <f>(+F25-F27-F28)/F6</f>
        <v>4878.792452830188</v>
      </c>
      <c r="G14" s="16">
        <f>(+G25-G26-G27-G28)/G6</f>
        <v>5531.33962264151</v>
      </c>
    </row>
    <row r="15" spans="3:7" ht="12.75">
      <c r="C15" s="61"/>
      <c r="D15" s="61"/>
      <c r="E15" s="12"/>
      <c r="F15" s="12"/>
      <c r="G15" s="12"/>
    </row>
    <row r="16" spans="3:7" ht="12.75">
      <c r="C16" s="61" t="s">
        <v>19</v>
      </c>
      <c r="D16" s="61" t="s">
        <v>49</v>
      </c>
      <c r="E16" s="38">
        <f>(+E12/((E8+B8)/2))*100</f>
        <v>28.848481099284335</v>
      </c>
      <c r="F16" s="38">
        <f>(+F12/((F8+E8)/2))*100</f>
        <v>-13.254887159619463</v>
      </c>
      <c r="G16" s="38">
        <f>(+G12/((G8+F8)/2))*100</f>
        <v>-37.156490904098035</v>
      </c>
    </row>
    <row r="17" spans="3:7" ht="12.75">
      <c r="C17" s="61" t="s">
        <v>20</v>
      </c>
      <c r="D17" s="61" t="s">
        <v>21</v>
      </c>
      <c r="E17" s="12">
        <f>SUM(E18:E19)+E21+E20</f>
        <v>146746</v>
      </c>
      <c r="F17" s="12">
        <f>SUM(F18:F19)+F21+F20</f>
        <v>302979</v>
      </c>
      <c r="G17" s="12">
        <f>SUM(G18:G19)+G21+G20</f>
        <v>268112</v>
      </c>
    </row>
    <row r="18" spans="3:7" ht="12.75">
      <c r="C18" s="61" t="s">
        <v>22</v>
      </c>
      <c r="D18" s="61" t="s">
        <v>23</v>
      </c>
      <c r="E18" s="11">
        <v>0</v>
      </c>
      <c r="F18" s="11">
        <v>0</v>
      </c>
      <c r="G18" s="11">
        <v>0</v>
      </c>
    </row>
    <row r="19" spans="3:7" ht="12.75">
      <c r="C19" s="61" t="s">
        <v>24</v>
      </c>
      <c r="D19" s="61" t="s">
        <v>25</v>
      </c>
      <c r="E19" s="11">
        <v>11778</v>
      </c>
      <c r="F19" s="11">
        <v>127717</v>
      </c>
      <c r="G19" s="11">
        <v>67714</v>
      </c>
    </row>
    <row r="20" spans="3:7" ht="12.75">
      <c r="C20" s="61" t="s">
        <v>26</v>
      </c>
      <c r="D20" s="61" t="s">
        <v>79</v>
      </c>
      <c r="E20" s="11">
        <v>0</v>
      </c>
      <c r="F20" s="11">
        <v>0</v>
      </c>
      <c r="G20" s="11">
        <v>0</v>
      </c>
    </row>
    <row r="21" spans="3:7" ht="12.75">
      <c r="C21" s="61" t="s">
        <v>27</v>
      </c>
      <c r="D21" s="61" t="s">
        <v>28</v>
      </c>
      <c r="E21" s="11">
        <f>1056+133912</f>
        <v>134968</v>
      </c>
      <c r="F21" s="11">
        <v>175262</v>
      </c>
      <c r="G21" s="11">
        <v>200398</v>
      </c>
    </row>
    <row r="22" spans="3:7" ht="12.75">
      <c r="C22" s="61" t="s">
        <v>29</v>
      </c>
      <c r="D22" s="61" t="s">
        <v>30</v>
      </c>
      <c r="E22" s="17">
        <f>(+E29-E30)/E21</f>
        <v>1.1946090925256356</v>
      </c>
      <c r="F22" s="17">
        <f>(+F29-F30)/F21</f>
        <v>0.6524004062489301</v>
      </c>
      <c r="G22" s="17">
        <f>(+G29-G30)/G21</f>
        <v>0.2443736963442749</v>
      </c>
    </row>
    <row r="23" spans="3:7" ht="12.75">
      <c r="C23" s="61" t="s">
        <v>31</v>
      </c>
      <c r="D23" s="61" t="s">
        <v>72</v>
      </c>
      <c r="E23" s="47">
        <f>(+E17-E20)/E8*100</f>
        <v>96.24771261978002</v>
      </c>
      <c r="F23" s="47">
        <f>(+F17-F20)/F8*100</f>
        <v>101.6885496798099</v>
      </c>
      <c r="G23" s="47">
        <f>(+G17-G20)/G8*100</f>
        <v>131.05100055722286</v>
      </c>
    </row>
    <row r="24" spans="3:7" ht="12.75">
      <c r="C24" s="61" t="s">
        <v>74</v>
      </c>
      <c r="D24" s="61" t="s">
        <v>73</v>
      </c>
      <c r="E24" s="19">
        <f>(+E17-E20-E21)/E8*100</f>
        <v>7.724950317117803</v>
      </c>
      <c r="F24" s="19">
        <f>(+F17-F20-F21)/F8*100</f>
        <v>42.86553358304134</v>
      </c>
      <c r="G24" s="19">
        <f>(+G17-G20-G21)/G8*100</f>
        <v>33.098061450930174</v>
      </c>
    </row>
    <row r="25" spans="2:7" ht="12.75">
      <c r="B25" s="2"/>
      <c r="C25" s="10" t="s">
        <v>40</v>
      </c>
      <c r="D25" s="10" t="s">
        <v>36</v>
      </c>
      <c r="E25" s="11">
        <v>436258</v>
      </c>
      <c r="F25" s="11">
        <v>431733</v>
      </c>
      <c r="G25" s="11">
        <v>521065</v>
      </c>
    </row>
    <row r="26" spans="2:7" ht="12.75">
      <c r="B26" s="2"/>
      <c r="C26" s="10" t="s">
        <v>41</v>
      </c>
      <c r="D26" s="10" t="s">
        <v>48</v>
      </c>
      <c r="E26" s="11">
        <v>0</v>
      </c>
      <c r="F26" s="11">
        <v>0</v>
      </c>
      <c r="G26" s="11">
        <v>0</v>
      </c>
    </row>
    <row r="27" spans="2:7" ht="12.75">
      <c r="B27" s="2"/>
      <c r="C27" s="10" t="s">
        <v>38</v>
      </c>
      <c r="D27" s="10" t="s">
        <v>37</v>
      </c>
      <c r="E27" s="11">
        <v>130649</v>
      </c>
      <c r="F27" s="11">
        <v>167062</v>
      </c>
      <c r="G27" s="11">
        <v>222976</v>
      </c>
    </row>
    <row r="28" spans="2:7" ht="12.75">
      <c r="B28" s="2"/>
      <c r="C28" s="10" t="s">
        <v>39</v>
      </c>
      <c r="D28" s="10" t="s">
        <v>45</v>
      </c>
      <c r="E28" s="11">
        <v>3336</v>
      </c>
      <c r="F28" s="11">
        <v>6095</v>
      </c>
      <c r="G28" s="11">
        <v>4928</v>
      </c>
    </row>
    <row r="29" spans="2:7" ht="12.75">
      <c r="B29" s="2"/>
      <c r="C29" s="10" t="s">
        <v>42</v>
      </c>
      <c r="D29" s="10" t="s">
        <v>46</v>
      </c>
      <c r="E29" s="11">
        <v>161234</v>
      </c>
      <c r="F29" s="11">
        <v>114341</v>
      </c>
      <c r="G29" s="11">
        <v>48972</v>
      </c>
    </row>
    <row r="30" spans="2:7" ht="12.75">
      <c r="B30" s="2"/>
      <c r="C30" s="10" t="s">
        <v>43</v>
      </c>
      <c r="D30" s="10" t="s">
        <v>47</v>
      </c>
      <c r="E30" s="11">
        <v>0</v>
      </c>
      <c r="F30" s="11">
        <v>0</v>
      </c>
      <c r="G30" s="11">
        <v>0</v>
      </c>
    </row>
    <row r="31" spans="2:7" ht="12.75">
      <c r="B31" s="2"/>
      <c r="C31" s="9"/>
      <c r="D31" s="9"/>
      <c r="E31" s="18"/>
      <c r="F31" s="18"/>
      <c r="G31" s="18"/>
    </row>
    <row r="33" spans="3:5" ht="12.75">
      <c r="C33" t="s">
        <v>34</v>
      </c>
      <c r="E33" t="s">
        <v>35</v>
      </c>
    </row>
    <row r="34" ht="12.75">
      <c r="D34" t="s">
        <v>33</v>
      </c>
    </row>
    <row r="36" ht="12.75">
      <c r="D36" t="s">
        <v>95</v>
      </c>
    </row>
    <row r="37" ht="12.75">
      <c r="D37" t="s">
        <v>94</v>
      </c>
    </row>
    <row r="38" ht="12.75">
      <c r="D38" t="s">
        <v>44</v>
      </c>
    </row>
    <row r="40" spans="4:6" ht="12.75">
      <c r="D40" s="24" t="s">
        <v>75</v>
      </c>
      <c r="E40" s="24"/>
      <c r="F40" s="24"/>
    </row>
    <row r="41" spans="4:6" ht="12.75">
      <c r="D41" s="24"/>
      <c r="E41" s="24"/>
      <c r="F41" s="24"/>
    </row>
    <row r="42" spans="4:6" ht="12.75">
      <c r="D42" s="24" t="s">
        <v>76</v>
      </c>
      <c r="E42" s="24"/>
      <c r="F42" s="24"/>
    </row>
    <row r="43" spans="4:6" ht="12.75">
      <c r="D43" s="24" t="s">
        <v>77</v>
      </c>
      <c r="E43" s="24"/>
      <c r="F43" s="24"/>
    </row>
    <row r="45" spans="4:5" ht="12.75">
      <c r="D45" s="24" t="s">
        <v>81</v>
      </c>
      <c r="E45" s="24"/>
    </row>
    <row r="46" spans="4:5" ht="12.75">
      <c r="D46" s="24" t="s">
        <v>82</v>
      </c>
      <c r="E46" s="24"/>
    </row>
    <row r="47" spans="4:5" ht="12.75">
      <c r="D47" s="24"/>
      <c r="E47" s="24"/>
    </row>
    <row r="48" ht="12.75">
      <c r="D48" t="s">
        <v>84</v>
      </c>
    </row>
    <row r="49" spans="4:7" ht="12.75">
      <c r="D49" s="24" t="s">
        <v>85</v>
      </c>
      <c r="E49" s="24"/>
      <c r="F49" s="24"/>
      <c r="G49" s="24"/>
    </row>
    <row r="50" ht="12.75">
      <c r="D50" t="s">
        <v>83</v>
      </c>
    </row>
    <row r="52" ht="12.75">
      <c r="D52" t="s">
        <v>105</v>
      </c>
    </row>
    <row r="53" ht="12.75">
      <c r="D53" t="s">
        <v>106</v>
      </c>
    </row>
    <row r="54" ht="12.75">
      <c r="D54" t="s">
        <v>104</v>
      </c>
    </row>
  </sheetData>
  <printOptions/>
  <pageMargins left="0.75" right="0.75" top="1" bottom="0.18" header="0" footer="0"/>
  <pageSetup horizontalDpi="1200" verticalDpi="1200" orientation="portrait" paperSize="9" r:id="rId1"/>
  <headerFooter alignWithMargins="0">
    <oddFooter>&amp;C-17-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Šarman</dc:creator>
  <cp:keywords/>
  <dc:description/>
  <cp:lastModifiedBy>Ivica Šarman</cp:lastModifiedBy>
  <cp:lastPrinted>2004-03-18T09:18:45Z</cp:lastPrinted>
  <dcterms:created xsi:type="dcterms:W3CDTF">2004-01-05T12:27:51Z</dcterms:created>
  <dcterms:modified xsi:type="dcterms:W3CDTF">2004-01-29T19:09:05Z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