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b2000-ocena2000-plan2001,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<sst xmlns="http://schemas.openxmlformats.org/spreadsheetml/2006/main" count="880" uniqueCount="628">
  <si>
    <t>Turistična taksa</t>
  </si>
  <si>
    <t>Požarna taksa</t>
  </si>
  <si>
    <t>70471500</t>
  </si>
  <si>
    <t>Plinarna d.d.</t>
  </si>
  <si>
    <t>70471501</t>
  </si>
  <si>
    <t>Vodovod d.d.</t>
  </si>
  <si>
    <t>70471502</t>
  </si>
  <si>
    <t>Nigrad d.d.</t>
  </si>
  <si>
    <t>70471503</t>
  </si>
  <si>
    <t>TOM d.o.o.</t>
  </si>
  <si>
    <t>II.</t>
  </si>
  <si>
    <t>SPLOŠNI   DEL   PRORAČUNA</t>
  </si>
  <si>
    <t>A.</t>
  </si>
  <si>
    <t>BILANCA  PRIHODKOV  IN  ODHODKOV</t>
  </si>
  <si>
    <t>4.12.2000</t>
  </si>
  <si>
    <t>24.11.00</t>
  </si>
  <si>
    <t>21.9.2000</t>
  </si>
  <si>
    <t>4.11.2000</t>
  </si>
  <si>
    <t>6.11.00</t>
  </si>
  <si>
    <t>11.12.2000</t>
  </si>
  <si>
    <t>20.8.99</t>
  </si>
  <si>
    <t>4.10.99</t>
  </si>
  <si>
    <t>Skup,podsk.</t>
  </si>
  <si>
    <t>Naziv konta</t>
  </si>
  <si>
    <t>Rebalans</t>
  </si>
  <si>
    <t>Realizacija</t>
  </si>
  <si>
    <t>Plan</t>
  </si>
  <si>
    <t>Primerljivi rebalans</t>
  </si>
  <si>
    <t>IND</t>
  </si>
  <si>
    <t>Prerazp. rebalans</t>
  </si>
  <si>
    <t>Struk.</t>
  </si>
  <si>
    <t>Ocena</t>
  </si>
  <si>
    <t>Plan 2001</t>
  </si>
  <si>
    <t>Razlika</t>
  </si>
  <si>
    <t>Konto,podk.</t>
  </si>
  <si>
    <t>(4:3)</t>
  </si>
  <si>
    <t>reb.2000</t>
  </si>
  <si>
    <t>ocene 00</t>
  </si>
  <si>
    <t>(7:4)</t>
  </si>
  <si>
    <t>(7:6)</t>
  </si>
  <si>
    <t>pl.2001</t>
  </si>
  <si>
    <t>(7:5)</t>
  </si>
  <si>
    <t>(10:7)</t>
  </si>
  <si>
    <t>(13:11)</t>
  </si>
  <si>
    <t>(15:13)</t>
  </si>
  <si>
    <t>I. obravnava</t>
  </si>
  <si>
    <t>II. obravnava</t>
  </si>
  <si>
    <t>(4-3)</t>
  </si>
  <si>
    <t>I.</t>
  </si>
  <si>
    <t>S K U P A J    P R I H O D K I</t>
  </si>
  <si>
    <t>(70+71+72+73+74)</t>
  </si>
  <si>
    <t>TEKOČI  PRIHODKI (70+71)</t>
  </si>
  <si>
    <t>DAVČNI  PRIHODKI</t>
  </si>
  <si>
    <t>(700+701+702+703+704+705+706)</t>
  </si>
  <si>
    <t>pl.oz.reb2000*5,7%</t>
  </si>
  <si>
    <t>plan 2001*4,5%</t>
  </si>
  <si>
    <t>pl.oz.reb2000*9,1%</t>
  </si>
  <si>
    <t>plan 2001*7,8%</t>
  </si>
  <si>
    <t>=2001</t>
  </si>
  <si>
    <t>=2002</t>
  </si>
  <si>
    <t>DAVKI NA DOHODEK IN DOBIČEK</t>
  </si>
  <si>
    <t>Dohodnina</t>
  </si>
  <si>
    <t>700001</t>
  </si>
  <si>
    <t>Dohodnina - letni poračun</t>
  </si>
  <si>
    <t>700002</t>
  </si>
  <si>
    <t>Akontacija dohodn. - od plač in drugih oseb. prejem. iz del. razmerja</t>
  </si>
  <si>
    <t>700003</t>
  </si>
  <si>
    <t>Akontacija dohodnine - od pokojnin</t>
  </si>
  <si>
    <t>700004</t>
  </si>
  <si>
    <t>Akontac. dohodn. - od prejemkov, dosež. na podlagi pogodbe o delu</t>
  </si>
  <si>
    <t>700005</t>
  </si>
  <si>
    <t>Akon. doh. - od drugih prejem., vključno z nagradami in podob. prej.</t>
  </si>
  <si>
    <t>700006</t>
  </si>
  <si>
    <t>Akon. doh. - od doh. iz kmetij., ki se obr. od kat. doh. od kmet. zemljišč</t>
  </si>
  <si>
    <t>700007</t>
  </si>
  <si>
    <t>Akon. doh. - od doh. iz kmetij., ki se obr. od kat. doh. od gozd. zemljišč</t>
  </si>
  <si>
    <t>700008</t>
  </si>
  <si>
    <t>Akon. doh. - od dohodka iz dejavnosti</t>
  </si>
  <si>
    <t>700009</t>
  </si>
  <si>
    <t>Akon. doh. - od dohodka iz dejavnosti od vsakega posamez. prejemka</t>
  </si>
  <si>
    <t>700010</t>
  </si>
  <si>
    <t>Akon. doh. - od dobička iz kapitala od nepremičnin</t>
  </si>
  <si>
    <t>700011</t>
  </si>
  <si>
    <t>Akon. doh. - od dobič. iz kapit. od vredn. papir. in dr. deležev v kapitalu</t>
  </si>
  <si>
    <t>700012</t>
  </si>
  <si>
    <t>Akon. doh. - od dohodkov, doseženih z udeležbo pri dobičku</t>
  </si>
  <si>
    <t>700013</t>
  </si>
  <si>
    <t>Akon. doh. - od obresti na posojila, dana fizičnim in pravnim osebam</t>
  </si>
  <si>
    <t>700014</t>
  </si>
  <si>
    <t>Akon. doh. - od doh. iz premoženja, dosež. z oddajanjem zemljišč,</t>
  </si>
  <si>
    <t xml:space="preserve">    stanovanjskih ali posl. prost., garaž in prost. za počitek in rekreac. </t>
  </si>
  <si>
    <t>700015</t>
  </si>
  <si>
    <t>Akon. doh. - od dohodkov iz premoženjskih pravic - iz avtorskih pravic</t>
  </si>
  <si>
    <t>700016</t>
  </si>
  <si>
    <t>Akon. doh. - od dohodkov iz premoženjskih pravic - od izumov,</t>
  </si>
  <si>
    <t xml:space="preserve">    znakov razlikovanja in tehničnih izboljšav</t>
  </si>
  <si>
    <t>700017</t>
  </si>
  <si>
    <t>Zamudne obresti od dohodnine</t>
  </si>
  <si>
    <t>DAVKI NA PREMOŽENJE</t>
  </si>
  <si>
    <t>Davki na nepremičnine</t>
  </si>
  <si>
    <t>703000</t>
  </si>
  <si>
    <t>Davek od premoženja od stavb - od fizičnih oseb</t>
  </si>
  <si>
    <t>703001</t>
  </si>
  <si>
    <t>Davek od premoženja od prostorov za počitek in rekreacijo</t>
  </si>
  <si>
    <t>703002</t>
  </si>
  <si>
    <t>Zamudne obresti od davkov na nepremičnine</t>
  </si>
  <si>
    <t>703003</t>
  </si>
  <si>
    <t>Nadomestilo za uporabo stavbnega zemljišča - od pravnih oseb</t>
  </si>
  <si>
    <t>703004</t>
  </si>
  <si>
    <t>Nadomestilo za uporabo stavbnega zemljišča - od fizičnih oseb</t>
  </si>
  <si>
    <t>703005</t>
  </si>
  <si>
    <t>Zamudne obresti iz naslova nadomestila za uporabo stavb. zemljišča</t>
  </si>
  <si>
    <t>Davki na premičnine</t>
  </si>
  <si>
    <t>703100</t>
  </si>
  <si>
    <t>Davek od premoženja - na posest plovnih objektov</t>
  </si>
  <si>
    <t>703101</t>
  </si>
  <si>
    <t>Zamudne obresti od davkov na premičnine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</si>
  <si>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</si>
  <si>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</si>
  <si>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</si>
  <si>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</si>
  <si>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</si>
  <si>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 xml:space="preserve">Davki na promet nepremičnin </t>
  </si>
  <si>
    <t>703300</t>
  </si>
  <si>
    <t>Davek na promet nepremičnin - od pravnih oseb</t>
  </si>
  <si>
    <t>703301</t>
  </si>
  <si>
    <t>Davek na promet nepremičnin - od fizičnih oseb</t>
  </si>
  <si>
    <t>703302</t>
  </si>
  <si>
    <t>Davek na promet nepremičnin - od pravnih in fizičnih oseb, ki nimajo</t>
  </si>
  <si>
    <t xml:space="preserve">    sedeža oz. stalnega prebivališča v RS</t>
  </si>
  <si>
    <t>703303</t>
  </si>
  <si>
    <t>Zamudne obresti od davka na promet nepremičnin</t>
  </si>
  <si>
    <t>DOMAČI DAVKI NA BLAGO IN STORITVE</t>
  </si>
  <si>
    <t>Davki na posebne storitve</t>
  </si>
  <si>
    <t>704403</t>
  </si>
  <si>
    <t>Davek na dobitke od iger na srečo</t>
  </si>
  <si>
    <t>704404</t>
  </si>
  <si>
    <t>Posebna taksa na igralne avtomate</t>
  </si>
  <si>
    <t>704405</t>
  </si>
  <si>
    <t>Zamudne obresti od davka na dobiček od iger na srečo</t>
  </si>
  <si>
    <t>Pristojbine za motorna vozila</t>
  </si>
  <si>
    <t>704604</t>
  </si>
  <si>
    <t>Pristojbine za registracijo kmetijskih traktorjev (povr. za upor. cest)</t>
  </si>
  <si>
    <t>Drugi davki na uporabo blaga in storitev</t>
  </si>
  <si>
    <t>704700</t>
  </si>
  <si>
    <t>Taksa za obremenjevanje vode (državna taksa)</t>
  </si>
  <si>
    <t>704704</t>
  </si>
  <si>
    <t>704706</t>
  </si>
  <si>
    <t xml:space="preserve">Komunalne takse za taksam zavezane predmete - od pravnih oseb </t>
  </si>
  <si>
    <t>704707</t>
  </si>
  <si>
    <t>Kom. takse za taksam zavez. predm. - od fizičnih oseb in zasebnikov</t>
  </si>
  <si>
    <t>704708</t>
  </si>
  <si>
    <t>Pristojbina za vzdrževanje gozdnih cest</t>
  </si>
  <si>
    <t>704709</t>
  </si>
  <si>
    <t>Druge komunalne takse</t>
  </si>
  <si>
    <t>704710</t>
  </si>
  <si>
    <t>Odškodnina za sprem. namembnosti kmetijskega zemljišča in gozda</t>
  </si>
  <si>
    <t>704711</t>
  </si>
  <si>
    <t>Zamudne obresti iz naslova odšk. za spr. nam. kmet. zemlj. in gozda</t>
  </si>
  <si>
    <t>704713</t>
  </si>
  <si>
    <t>704714</t>
  </si>
  <si>
    <t>Odškodnine od izkopanih rudnin (gramoz)</t>
  </si>
  <si>
    <t>704715</t>
  </si>
  <si>
    <t>Priključne takse</t>
  </si>
  <si>
    <t>704716</t>
  </si>
  <si>
    <t>Ekološke takse</t>
  </si>
  <si>
    <t>DRUGI DAVKI</t>
  </si>
  <si>
    <t>Drugi davki</t>
  </si>
  <si>
    <t>NEDAVČNI PRIHODKI</t>
  </si>
  <si>
    <t>(710+711+712+713+714)</t>
  </si>
  <si>
    <t xml:space="preserve">UDELEŽBA NA DOBIČKU IN DOHODKI </t>
  </si>
  <si>
    <t xml:space="preserve">      OD PREMOŽENJA</t>
  </si>
  <si>
    <t>Udeležba na dobičku javnih podjetij in jav. finan. instit.</t>
  </si>
  <si>
    <t>Prihodki iz naslova udeležbe na dobičku javnih podjetij</t>
  </si>
  <si>
    <t>71000000</t>
  </si>
  <si>
    <t>ZIM d.o.o.</t>
  </si>
  <si>
    <t>71000001</t>
  </si>
  <si>
    <t>Staninvest d.o.o.</t>
  </si>
  <si>
    <t>71000002</t>
  </si>
  <si>
    <t>ZUM d.o.o.</t>
  </si>
  <si>
    <t>71000003</t>
  </si>
  <si>
    <t>Geodetski zavod Maribor d.o.o.</t>
  </si>
  <si>
    <t>71000004</t>
  </si>
  <si>
    <t>Snaga d.o.o.</t>
  </si>
  <si>
    <t>Prihodki od udeležbe na dobičku drugih podjetij</t>
  </si>
  <si>
    <t>710100</t>
  </si>
  <si>
    <t>Prejete dividende iz naslova finančnih naložb v podjetja</t>
  </si>
  <si>
    <t>71010000</t>
  </si>
  <si>
    <t>71010001</t>
  </si>
  <si>
    <t>71010002</t>
  </si>
  <si>
    <t>71010003</t>
  </si>
  <si>
    <t>Certus d.d.</t>
  </si>
  <si>
    <t>71010004</t>
  </si>
  <si>
    <t>Probanka d.d.</t>
  </si>
  <si>
    <t>71010005</t>
  </si>
  <si>
    <t>Pogrebno podjetje Maribor d.d.</t>
  </si>
  <si>
    <t>71010006</t>
  </si>
  <si>
    <t>Tržnice Maribor d.d.</t>
  </si>
  <si>
    <t>71010007</t>
  </si>
  <si>
    <t>STTC d.d.</t>
  </si>
  <si>
    <t>71010008</t>
  </si>
  <si>
    <t>Cestno podjetje Maribor d.d.</t>
  </si>
  <si>
    <t>Prihodki od obresti</t>
  </si>
  <si>
    <t>710200</t>
  </si>
  <si>
    <t>Prihodki od obresti od sredstev na vpogled</t>
  </si>
  <si>
    <t>710201</t>
  </si>
  <si>
    <t>Prih. od obresti od vezanih tolarskih depozitov iz nenamen. sredstev</t>
  </si>
  <si>
    <t>710205</t>
  </si>
  <si>
    <t>Prih. od obresti od vezanih tolarskih depoz. iz ostalih namen. sredstev</t>
  </si>
  <si>
    <t>Prihodki od premoženja</t>
  </si>
  <si>
    <t>710301</t>
  </si>
  <si>
    <t>Prihodki od najemnin za poslovne prostore</t>
  </si>
  <si>
    <t>710302</t>
  </si>
  <si>
    <t>Prihodki od najemnin za stanovanja</t>
  </si>
  <si>
    <t>710304</t>
  </si>
  <si>
    <t>Prih.od drugih najemnin</t>
  </si>
  <si>
    <t>71030400</t>
  </si>
  <si>
    <t xml:space="preserve">prihodki od najemnin za upravne prostore </t>
  </si>
  <si>
    <t>71030401</t>
  </si>
  <si>
    <t>prihodki od najemnin za uporabo nezazidanih stavbnih zemljišč (vrtovi)</t>
  </si>
  <si>
    <t>71030402</t>
  </si>
  <si>
    <t>prihodki od najemnin javnih površin - za gostinske vrtove</t>
  </si>
  <si>
    <t>71030403</t>
  </si>
  <si>
    <t>prihodki od najemnin javnih površin - za kioske</t>
  </si>
  <si>
    <t>71030404</t>
  </si>
  <si>
    <t>prihodki od najemnin za Izobraževalni center Pekre</t>
  </si>
  <si>
    <t>71030405</t>
  </si>
  <si>
    <t>prihodki od parkirnin v modri coni</t>
  </si>
  <si>
    <t>71030406</t>
  </si>
  <si>
    <t>prihodki od parkirnin na javnih parkiriščih</t>
  </si>
  <si>
    <t>71030407</t>
  </si>
  <si>
    <t>prihodki od najemnin za stojnice</t>
  </si>
  <si>
    <t>71030408</t>
  </si>
  <si>
    <t>prihodki od prevoznin v peš coni</t>
  </si>
  <si>
    <t>71030409</t>
  </si>
  <si>
    <t>prihodki od najema jav. površin za prireditve in sejme</t>
  </si>
  <si>
    <t>71030410</t>
  </si>
  <si>
    <t>prihodki od drugih najemnin - ostalo JPGSZ</t>
  </si>
  <si>
    <t>710305</t>
  </si>
  <si>
    <t>Prihodki od zakupnin</t>
  </si>
  <si>
    <t>710306</t>
  </si>
  <si>
    <t>Prihodki iz naslova podeljenih koncesij</t>
  </si>
  <si>
    <t>71030600</t>
  </si>
  <si>
    <t>prihodki od koncesije za opravljanje javnega mestnega prometa</t>
  </si>
  <si>
    <t>71030601</t>
  </si>
  <si>
    <t>prihodki od koncesije za distribucijo zemeljskega plina</t>
  </si>
  <si>
    <t>71030602</t>
  </si>
  <si>
    <t>prihodki od koncesije za upepeljevanje</t>
  </si>
  <si>
    <t>71030603</t>
  </si>
  <si>
    <t>prihodki od koncesij za oglaševanje</t>
  </si>
  <si>
    <t>71030604</t>
  </si>
  <si>
    <t>prihodki od koncesije za vzdrževanje in upravljanje tržnic</t>
  </si>
  <si>
    <t>71030605</t>
  </si>
  <si>
    <t>prihodki od koncesije za urejanje pokopališč in pogrebne storitve</t>
  </si>
  <si>
    <t>71030606</t>
  </si>
  <si>
    <t>prihodki od koncesije za opravljanje dimnikarske dejavnosti</t>
  </si>
  <si>
    <t>71030607</t>
  </si>
  <si>
    <t>prih. od konc. za vzdržev. in urejanje javnih pešpoti in zelenih površin</t>
  </si>
  <si>
    <t>71030608</t>
  </si>
  <si>
    <t>prih. od koncesije za upravljanje s sistemom pohorskih žičnic in vlečnic</t>
  </si>
  <si>
    <t>71030609</t>
  </si>
  <si>
    <t>prihodki od koncesije za upravljanje nove avtobusne postaje</t>
  </si>
  <si>
    <t>Prihodki iz naslova koncesijskih dajatev od posebnih iger na srečo</t>
  </si>
  <si>
    <t>Zamudne obresti od koncesijskih dajatev od posebnih iger na srečo</t>
  </si>
  <si>
    <t>710399</t>
  </si>
  <si>
    <t>Drugi prihodki od premoženja</t>
  </si>
  <si>
    <t>71039900</t>
  </si>
  <si>
    <t>obratovalni stroški najemnikov upravnih prostorov</t>
  </si>
  <si>
    <t>71039901</t>
  </si>
  <si>
    <t>71039902</t>
  </si>
  <si>
    <t>uporabnina za odlaganje kom. odpadkov na deponijo Pobrežje</t>
  </si>
  <si>
    <t>TAKSE IN PRISTOJBINE</t>
  </si>
  <si>
    <t>Upravne takse</t>
  </si>
  <si>
    <t>711100</t>
  </si>
  <si>
    <t>711199</t>
  </si>
  <si>
    <t>Pristojbina za uporabo občinskih cest</t>
  </si>
  <si>
    <t>DENARNE KAZNI</t>
  </si>
  <si>
    <t>Denarne kazni</t>
  </si>
  <si>
    <t>712001</t>
  </si>
  <si>
    <t>Denarne kazni za prekrške</t>
  </si>
  <si>
    <t>712005</t>
  </si>
  <si>
    <t>Denarne kazni v upravni izvršbi</t>
  </si>
  <si>
    <t>712007</t>
  </si>
  <si>
    <t>Nadomestilo za degradacijo in uzurpacijo prostora</t>
  </si>
  <si>
    <t>PRIHODKI OD PRODAJE BLAGA IN STORITEV</t>
  </si>
  <si>
    <t>Prihodki od prodaje blaga in storitev</t>
  </si>
  <si>
    <t>713000</t>
  </si>
  <si>
    <t>01</t>
  </si>
  <si>
    <t>02</t>
  </si>
  <si>
    <t>03</t>
  </si>
  <si>
    <t>04</t>
  </si>
  <si>
    <t>05</t>
  </si>
  <si>
    <t>06</t>
  </si>
  <si>
    <t>07</t>
  </si>
  <si>
    <t>08</t>
  </si>
  <si>
    <t>713003</t>
  </si>
  <si>
    <t>Prihodki od počitniške dejavnosti</t>
  </si>
  <si>
    <t>713099</t>
  </si>
  <si>
    <t>Drugi prihodki od prodaje</t>
  </si>
  <si>
    <t>71309900</t>
  </si>
  <si>
    <t>prihodki od prodaje storitev Komunalne inšpekcije</t>
  </si>
  <si>
    <t>71309901</t>
  </si>
  <si>
    <t>prihodki od prodaje storitev Zavoda za prostorsko načrtovanje</t>
  </si>
  <si>
    <t>71309902</t>
  </si>
  <si>
    <t>prihodki od prodaje storitev Odd. za gospodar. z obč. premož.</t>
  </si>
  <si>
    <t>71309903</t>
  </si>
  <si>
    <t>prihodki od prodaje storitev GIS</t>
  </si>
  <si>
    <t>71309904</t>
  </si>
  <si>
    <t>prihodki od  razpisne dokumentacije - natečaji (DD)</t>
  </si>
  <si>
    <t>71309905</t>
  </si>
  <si>
    <t>prihodki od razpisne dokumentacije - natečaji (poslovni prostori)</t>
  </si>
  <si>
    <t>71309906</t>
  </si>
  <si>
    <t>prihodki od razpisne dokumentacije - natečaji (KD)</t>
  </si>
  <si>
    <t>71309907</t>
  </si>
  <si>
    <t>prihodki od prodaje storitev vodniške službe (ZZT)</t>
  </si>
  <si>
    <t>71309908</t>
  </si>
  <si>
    <t>prihodki od promocijskih aktivnosti (ZZT)</t>
  </si>
  <si>
    <t>71309909</t>
  </si>
  <si>
    <t>prihodki od oglaševanja (ZZT)</t>
  </si>
  <si>
    <t>71309910</t>
  </si>
  <si>
    <t>prihodki od organizacije prireditev (ZZT)</t>
  </si>
  <si>
    <t>71309911</t>
  </si>
  <si>
    <t>za koledar turističnih prireditev (ZZT)</t>
  </si>
  <si>
    <t>71309912</t>
  </si>
  <si>
    <t>za usposabljanje turističnih delavcev (BSC Kranj)</t>
  </si>
  <si>
    <t>DRUGI NEDAVČNI PRIHODKI</t>
  </si>
  <si>
    <t>Drugi nedavčni prihodki</t>
  </si>
  <si>
    <t>714100</t>
  </si>
  <si>
    <t>sofinanciranje - BAUMAX</t>
  </si>
  <si>
    <t>71410000</t>
  </si>
  <si>
    <t>namenska sredstva za infrastrukturo MOM (Snaga)</t>
  </si>
  <si>
    <t>71410001</t>
  </si>
  <si>
    <t>ekološki tolar - namen.sr.v ceni storitev za gradnjo CČN in kolektorja</t>
  </si>
  <si>
    <t>71410002</t>
  </si>
  <si>
    <t>ekološki tolar - namen.sr.v ceni storitev za program gosp. z odpadki</t>
  </si>
  <si>
    <t>714105</t>
  </si>
  <si>
    <t>Prihodki od komunalnih prispevkov</t>
  </si>
  <si>
    <t>714106</t>
  </si>
  <si>
    <t>Prisp.in dopl.občanov za izvaj.določ.progr.tekoč.značaja(dom.oskrba)</t>
  </si>
  <si>
    <t>714107</t>
  </si>
  <si>
    <t>Prisp. in doplač.občanov za izvaj. progr.investic.značaja</t>
  </si>
  <si>
    <t>za kanalizacijo v KS in MČ</t>
  </si>
  <si>
    <t>najemniki poslovnih prostorov</t>
  </si>
  <si>
    <t>714108</t>
  </si>
  <si>
    <t>Sredstva za investicije, pridobljena z občinskimi samoprispevki</t>
  </si>
  <si>
    <t>714109</t>
  </si>
  <si>
    <t>Sredstva za investicije, pridobljena s krajevnimi samoprispevki</t>
  </si>
  <si>
    <t>714110</t>
  </si>
  <si>
    <t>Zamudne obresti od komunalnih prispevkov</t>
  </si>
  <si>
    <t>714199</t>
  </si>
  <si>
    <t>Drugi izredni nedavčni prihodki</t>
  </si>
  <si>
    <t>71419900</t>
  </si>
  <si>
    <t xml:space="preserve">prispevki občin za storitve v VVZ </t>
  </si>
  <si>
    <t>71419901</t>
  </si>
  <si>
    <t>drugi prihodki</t>
  </si>
  <si>
    <t>71419902</t>
  </si>
  <si>
    <t>zavarovalnica</t>
  </si>
  <si>
    <t>71419903</t>
  </si>
  <si>
    <t>provizija CEGOR</t>
  </si>
  <si>
    <t xml:space="preserve">KAPITALSKI PRIHODKI </t>
  </si>
  <si>
    <t>(720+721+722)</t>
  </si>
  <si>
    <t>PRIHODKI OD PRODAJE OSNOVNIH SREDSTEV</t>
  </si>
  <si>
    <t>Prihodki od prodaje zgradb in prostorov</t>
  </si>
  <si>
    <t>720000</t>
  </si>
  <si>
    <t>Prihodki od prodaje poslovnih objektov in poslovnih prostorov</t>
  </si>
  <si>
    <t>720001</t>
  </si>
  <si>
    <t>Prihodki od prodaje stanovanjskih objektov in stanovanj</t>
  </si>
  <si>
    <t>720099</t>
  </si>
  <si>
    <t>Prih. od prodaje drugih zgradb in prostorov (prodaja objektov MOM)</t>
  </si>
  <si>
    <t>72009901</t>
  </si>
  <si>
    <t>Prih. od prodaje drugih zgradb in prostorov (prodaja garaž Hutter)</t>
  </si>
  <si>
    <t>Prihodki od prodaje prevoznih sredstev</t>
  </si>
  <si>
    <t>720100</t>
  </si>
  <si>
    <t>Prihodki od prodaje cestnih motornih vozil</t>
  </si>
  <si>
    <t>Prihodki od prodaje opreme</t>
  </si>
  <si>
    <t>Prihodki od prodaje druge opreme</t>
  </si>
  <si>
    <t>PRIH. OD PRODAJE ZEMLJIŠČ IN NEMATER. PREMOŽ.</t>
  </si>
  <si>
    <t>Prihodki od prodaje stavbnih zemljišč</t>
  </si>
  <si>
    <t>722100</t>
  </si>
  <si>
    <t>72210000</t>
  </si>
  <si>
    <t>prihodki od prodaje stavbnih zemljišč</t>
  </si>
  <si>
    <t>72210001</t>
  </si>
  <si>
    <t>prihodki od prodaje stavbnih zemljišč - C-4</t>
  </si>
  <si>
    <t>72210002</t>
  </si>
  <si>
    <t>prihodki od prodaje stavbnih zemljišč - Pristan</t>
  </si>
  <si>
    <t>PREJETE DONACIJE (730+731)</t>
  </si>
  <si>
    <t>PREJETE DONACIJE IZ TUJINE</t>
  </si>
  <si>
    <t>Prejete donacije iz tujine za tekočo porabo</t>
  </si>
  <si>
    <t>731000</t>
  </si>
  <si>
    <t>Prejete donacije od mednarodnih institucij za tekočo porabo</t>
  </si>
  <si>
    <t>TRANSFERNI PRIHODKI</t>
  </si>
  <si>
    <t xml:space="preserve">TRANSFERNI PRIHODKI IZ DRUGIH </t>
  </si>
  <si>
    <t xml:space="preserve">      JAVNOFINANČNIH INSTITUCIJ</t>
  </si>
  <si>
    <t>Prejeta sredstva iz državnega proračuna</t>
  </si>
  <si>
    <t>740000</t>
  </si>
  <si>
    <t>Prejeta sred. iz nasl. tekočih obvez. državnega proračuna</t>
  </si>
  <si>
    <t>74000000</t>
  </si>
  <si>
    <t>finančna izravnava - primanjkljaj iz prejšnjega leta</t>
  </si>
  <si>
    <t>74000001</t>
  </si>
  <si>
    <t>finančna izravnava - nakazila v tekočem letu</t>
  </si>
  <si>
    <t>740001</t>
  </si>
  <si>
    <t>Prejeta sredstva iz državnega proračuna za investicije</t>
  </si>
  <si>
    <t>74000100</t>
  </si>
  <si>
    <t>na področju športa</t>
  </si>
  <si>
    <t>74000101</t>
  </si>
  <si>
    <t>na področju šolstva</t>
  </si>
  <si>
    <t>74000102</t>
  </si>
  <si>
    <t>na področju kulture</t>
  </si>
  <si>
    <t>74000103</t>
  </si>
  <si>
    <t>na področju zdravstva</t>
  </si>
  <si>
    <t>74000104</t>
  </si>
  <si>
    <t>na področju lokalnih cest</t>
  </si>
  <si>
    <t>74000105</t>
  </si>
  <si>
    <t>na področju uprave (telef. in ožičenje, inv.vzdrž.upr.zgradb) - Vlada RS</t>
  </si>
  <si>
    <t>74000106</t>
  </si>
  <si>
    <t>MORS - za kasarno Melje</t>
  </si>
  <si>
    <t>74000107</t>
  </si>
  <si>
    <t>sofinanciranje ministrstev - MKGP, MOP, MPZ - KD</t>
  </si>
  <si>
    <t>74000108</t>
  </si>
  <si>
    <t>MF - odprava posledic po neurju v l. 98</t>
  </si>
  <si>
    <t>74000109</t>
  </si>
  <si>
    <t>MOP - za register stavb - GIS</t>
  </si>
  <si>
    <t>74000110</t>
  </si>
  <si>
    <t>MKGP - kmetijstvo</t>
  </si>
  <si>
    <t>740004</t>
  </si>
  <si>
    <t>Druga prejeta sredstva iz državnega proračuna za tekočo porabo</t>
  </si>
  <si>
    <t>74000400</t>
  </si>
  <si>
    <t>za štipendije, prevoze učencev (MŠŠ)</t>
  </si>
  <si>
    <t>74000401</t>
  </si>
  <si>
    <t>za javna dela (ZZZ)</t>
  </si>
  <si>
    <t>74000402</t>
  </si>
  <si>
    <t>za predšolsko vzgojo romskih otrok</t>
  </si>
  <si>
    <t>74000403</t>
  </si>
  <si>
    <t>za občinske programe za otroke in mladino</t>
  </si>
  <si>
    <t>74000404</t>
  </si>
  <si>
    <t>za pouk plavanja</t>
  </si>
  <si>
    <t>74000405</t>
  </si>
  <si>
    <t>MMGT - ZZT</t>
  </si>
  <si>
    <t>74000406</t>
  </si>
  <si>
    <t>MKGP - KD</t>
  </si>
  <si>
    <t>74000407</t>
  </si>
  <si>
    <t>MOP - ZPN</t>
  </si>
  <si>
    <t>74000408</t>
  </si>
  <si>
    <t>za sof. stroš. objekta in oskrbnika -Bolfenk-Uprava RS za var. narave</t>
  </si>
  <si>
    <t>74000409</t>
  </si>
  <si>
    <t>za strokovne podlage - podtalnica (MOP) - ZVO</t>
  </si>
  <si>
    <t>74000410</t>
  </si>
  <si>
    <t>MOP - odprava posledic suše - kmetijstvo</t>
  </si>
  <si>
    <t>74000411</t>
  </si>
  <si>
    <t>MK - za financiranje redne dejavnosti kulturnih zavodov</t>
  </si>
  <si>
    <t>Prejeta sredstva iz proračunov lokalnih skupnosti</t>
  </si>
  <si>
    <t>740100</t>
  </si>
  <si>
    <t>Prejeta sredstva iz proračunov lokalnih skupnosti za tekočo porabo</t>
  </si>
  <si>
    <t>74010005</t>
  </si>
  <si>
    <t>za mladinsko raziskovalno dejavnost</t>
  </si>
  <si>
    <t>74010006</t>
  </si>
  <si>
    <t>sofin. deleži drugih občin pri financiranju redne dejav. kult.zavodov</t>
  </si>
  <si>
    <t>74010007</t>
  </si>
  <si>
    <t>za strokovne podlage - podtalnica (sofinanciranje lok. skupn.) - ZVO</t>
  </si>
  <si>
    <t>740101</t>
  </si>
  <si>
    <t>Prejeta sredstva iz proračunov lokalnih skupnosti za investicije</t>
  </si>
  <si>
    <t>74010100</t>
  </si>
  <si>
    <t>za uporabo odlagališča odpadkov</t>
  </si>
  <si>
    <t>74010101</t>
  </si>
  <si>
    <t>za sanacijo odlagališča odpadkov</t>
  </si>
  <si>
    <t>74010102</t>
  </si>
  <si>
    <t>za odškodnino za zmanjšanje kakovosti bivalnega okolja</t>
  </si>
  <si>
    <t>74010103</t>
  </si>
  <si>
    <t>za CEGOR</t>
  </si>
  <si>
    <t>74010104</t>
  </si>
  <si>
    <t>za akcije MČ in KS</t>
  </si>
  <si>
    <t>74010105</t>
  </si>
  <si>
    <t>turistična obmejna cona - kolesarske poti</t>
  </si>
  <si>
    <t>74010106</t>
  </si>
  <si>
    <t>racionalna raba deponijskega prostora</t>
  </si>
  <si>
    <t>PRENOS PRIHODKOV IN DR. PREJEMKOV</t>
  </si>
  <si>
    <t>S K U P A J   O D H O D K I</t>
  </si>
  <si>
    <t>(40+41+42+43)</t>
  </si>
  <si>
    <t>TEKOČI 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</si>
  <si>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</si>
  <si>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</si>
  <si>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</si>
  <si>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</si>
  <si>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</si>
  <si>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</si>
  <si>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</si>
  <si>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po pogodbi</t>
  </si>
  <si>
    <t>Drugi izdatki zaposlenim</t>
  </si>
  <si>
    <t>PRISP. DELODAJALCEV ZA SOCIALNO VARNOST</t>
  </si>
  <si>
    <t>Prispevek za pokojninsko in invalidsko zavarovanje</t>
  </si>
  <si>
    <t>Prispevek za zdravstveno zavarovanje</t>
  </si>
  <si>
    <t>Prispevek za zaposlovanje</t>
  </si>
  <si>
    <t>Prispevek za porodniško varstvo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</si>
  <si>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</si>
  <si>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</si>
  <si>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</si>
  <si>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</si>
  <si>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</si>
  <si>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</si>
  <si>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</si>
  <si>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</si>
  <si>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>Kazni in odškodnine</t>
  </si>
  <si>
    <t>Drugi operativni odhodki</t>
  </si>
  <si>
    <t>PLAČILA DOMAČIH OBRESTI</t>
  </si>
  <si>
    <t>Plačila obresti od kreditov poslovnim bankam</t>
  </si>
  <si>
    <t>Plač. obresti od kred. drugim domačim kreditodajalcem</t>
  </si>
  <si>
    <t>REZERVE</t>
  </si>
  <si>
    <t>Splošna proračunska rezervacija</t>
  </si>
  <si>
    <t>Proračunska rezerva</t>
  </si>
  <si>
    <t>Druge rezerve</t>
  </si>
  <si>
    <t>TEKOČI  TRANSFERI</t>
  </si>
  <si>
    <t>(410+411+412+413+414)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</si>
  <si>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</si>
  <si>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</si>
  <si>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</si>
  <si>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</si>
  <si>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</si>
  <si>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</si>
  <si>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</si>
  <si>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</si>
  <si>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voj. nasilja</t>
  </si>
  <si>
    <t>Štipendije</t>
  </si>
  <si>
    <t>Drugi transferi posameznikom</t>
  </si>
  <si>
    <t>TRANSFERI NEPROFITNIM ORGANIZACIJAM IN</t>
  </si>
  <si>
    <t>USTANOVAM</t>
  </si>
  <si>
    <t>Tekoči transferi neprofitnim organizacijam in ustanovam</t>
  </si>
  <si>
    <t>DRUGI TEKOČI DOMAČI TRANSFERI</t>
  </si>
  <si>
    <t>Tekoči transferi drugim ravnem države</t>
  </si>
  <si>
    <t>Tekoči transferi v sklade socialnega zavarovanja</t>
  </si>
  <si>
    <t>Tekoči transferi v druge javne sklade in agencije</t>
  </si>
  <si>
    <t>Tekoči transferi v javne zavode in dr. izvajalce jav. služb</t>
  </si>
  <si>
    <t>TEKOČI TRANSFERI V TUJINO</t>
  </si>
  <si>
    <t>Tekoči transferi mednarodnim institucijam</t>
  </si>
  <si>
    <t>Tekoči transferi neprofitnim organizacijam v tujino</t>
  </si>
  <si>
    <t>INVESTICIJSKI  ODHODKI  (420)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</si>
  <si>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</si>
  <si>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</si>
  <si>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</si>
  <si>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</si>
  <si>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</si>
  <si>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</si>
  <si>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</si>
  <si>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</si>
  <si>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</si>
  <si>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izvedlj.projektov,proj.dokum.,nadzor in inv. inženir.</t>
  </si>
  <si>
    <t>INVESTICIJSKI  TRANSFERI  (430)</t>
  </si>
  <si>
    <t>INVESTICIJSKI TRANSFERI</t>
  </si>
  <si>
    <t>Investicijski transferi drugim ravnem države</t>
  </si>
  <si>
    <t>Investicijski transferi javnim skladom in agencijam</t>
  </si>
  <si>
    <t>Investicijski transferi neprofitnim organizacijam</t>
  </si>
  <si>
    <t>Investicijski transferi javnim podjetjem</t>
  </si>
  <si>
    <t>Kapitalski transferi finančnim institucijam</t>
  </si>
  <si>
    <t>Investicijski transferi privatnim podjetjem in zasebnikom</t>
  </si>
  <si>
    <t>Investicijski transferi posameznikom</t>
  </si>
  <si>
    <t>Inv. transferi javnim zavodom in javnim gosp. zavodom</t>
  </si>
  <si>
    <t>Investicijski transferi v tujino</t>
  </si>
  <si>
    <t>III.</t>
  </si>
  <si>
    <t>PRORAČUNSKI  PRESEŽEK</t>
  </si>
  <si>
    <t>(PRIMANJKLJAJ)  (I. - II.)</t>
  </si>
  <si>
    <t>(SKUPAJ PRIHODKI MINUS SKUPAJ ODHODKI)</t>
  </si>
  <si>
    <t>B.</t>
  </si>
  <si>
    <t>RAČUN  FINANČNIH  TERJATEV  IN  NALOŽB</t>
  </si>
  <si>
    <t>IV.</t>
  </si>
  <si>
    <t>PREJETA  VRAČILA  DANIH  POSOJIL  IN</t>
  </si>
  <si>
    <t xml:space="preserve">PRODAJA  KAPITALSKIH  DELEŽEV  </t>
  </si>
  <si>
    <t>(750+751)</t>
  </si>
  <si>
    <t>PREJETA VRAČILA DANIH POSOJIL</t>
  </si>
  <si>
    <t>Prejeta vračila danih posojil od posameznikov</t>
  </si>
  <si>
    <t>Prejeta vračila danih posojil od finančnih institucij</t>
  </si>
  <si>
    <t>PRODAJA KAPITALSKIH DELEŽEV</t>
  </si>
  <si>
    <t>Sred., pridoblj. s prodajo kap. deležev v javnih podjetjih</t>
  </si>
  <si>
    <t>Sred., pridoblj. s prodajo kap. deležev v finanč. instituc.</t>
  </si>
  <si>
    <t>Sred., pridoblj. s prodajo kap. deležev v privat. podjetjih</t>
  </si>
  <si>
    <t>V.</t>
  </si>
  <si>
    <t>DANA  POSOJILA  IN  POVEČANJE</t>
  </si>
  <si>
    <t>KAPITALSKIH  DELEŽEV  (440+441)</t>
  </si>
  <si>
    <t>DANA POSOJILA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</si>
  <si>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</si>
  <si>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</si>
  <si>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</si>
  <si>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</si>
  <si>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</t>
  </si>
  <si>
    <t>Dana posojila drugim ravnem države</t>
  </si>
  <si>
    <t>Dana posojila v tujino</t>
  </si>
  <si>
    <t>POVEČANJE KAPITALSKIH DELEŽEV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</si>
  <si>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</si>
  <si>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</si>
  <si>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</si>
  <si>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</si>
  <si>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</si>
  <si>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VI.</t>
  </si>
  <si>
    <t>PREJETA  MINUS  DANA  POSOJILA  IN</t>
  </si>
  <si>
    <t>SPREMEMBE  KAPITALSKIH  DELEŽEV</t>
  </si>
  <si>
    <t>(IV. - V.)</t>
  </si>
  <si>
    <t>VII.</t>
  </si>
  <si>
    <t>SKUPNI  PRESEŽEK  (PRIMANJKLJAJ)</t>
  </si>
  <si>
    <t>(I. + IV.) - (II. + V.)</t>
  </si>
  <si>
    <t>(PRIHODKI IN PREJETA VRAČILA DANIH POSOJIL</t>
  </si>
  <si>
    <t>MINUS ODHODKI IN DANA POSOJILA)</t>
  </si>
  <si>
    <t>C.</t>
  </si>
  <si>
    <t>RAČUN  FINANCIRANJA</t>
  </si>
  <si>
    <t>VIII.</t>
  </si>
  <si>
    <t>ZADOLŽEVANJE  (500+501)</t>
  </si>
  <si>
    <t>DOMAČE ZADOLŽEVANJE</t>
  </si>
  <si>
    <t>Najeti krediti pri poslovnih bankah</t>
  </si>
  <si>
    <t>IX.</t>
  </si>
  <si>
    <t>ODPLAČILA  DOLGA  (550+551)</t>
  </si>
  <si>
    <t>ODPLAČILA DOMAČEGA DOLGA</t>
  </si>
  <si>
    <t>Odplačila kreditov poslovnim bankam</t>
  </si>
  <si>
    <t>Odplačila kreditov drugim domačim kreditodajalcem</t>
  </si>
  <si>
    <t>X.</t>
  </si>
  <si>
    <t>NETO  ZADOLŽEVANJE  (VIII. - IX.)</t>
  </si>
  <si>
    <t>XI.</t>
  </si>
  <si>
    <t>POVEČANJE  (ZMANJŠANJE)  SREDSTEV</t>
  </si>
  <si>
    <t xml:space="preserve">NA  RAČUNIH </t>
  </si>
  <si>
    <t>(III.+VI.+ X.)=(I.+IV.+VIII.)-(II.+V.+IX.)</t>
  </si>
  <si>
    <t>XII.</t>
  </si>
  <si>
    <t>STANJE SREDSTEV NA RAČUNU</t>
  </si>
  <si>
    <t xml:space="preserve">KONEC PRETEKLEGA LETA </t>
  </si>
  <si>
    <t>XIII.</t>
  </si>
  <si>
    <t>KONEC TEKOČEGA LETA  (XI.+XII.)</t>
  </si>
  <si>
    <t>Skupaj prejemki</t>
  </si>
  <si>
    <t>NAMENSKI PRIHODKI</t>
  </si>
  <si>
    <t>Odškodnina za sprem. namemb. kmetij. zemljišča in gozda</t>
  </si>
  <si>
    <t>Prihodki od prodaje posl. objektov in poslovnih prostorov</t>
  </si>
  <si>
    <t>Prih. od prodaje dr. zgradb in prostorov (prodaja objektov MOM)</t>
  </si>
  <si>
    <t>Prih. od prodaje dr. zgradb in prostorov (prodaja garaž Hutter)</t>
  </si>
  <si>
    <t>SKUPAJ NAMENSKI PRIHODKI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</si>
</sst>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8" fillId="0" borderId="1" xfId="0" applyFont="1" applyBorder="1" applyAlignment="1" quotePrefix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8" fillId="0" borderId="0" xfId="0" applyNumberFormat="1" applyFont="1" applyAlignment="1" quotePrefix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" fontId="12" fillId="0" borderId="0" xfId="0" applyNumberFormat="1" applyFont="1" applyAlignment="1" quotePrefix="1">
      <alignment horizontal="left"/>
    </xf>
    <xf numFmtId="3" fontId="12" fillId="0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10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5" xfId="0" applyFont="1" applyBorder="1" applyAlignment="1" quotePrefix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3" fontId="6" fillId="0" borderId="0" xfId="0" applyNumberFormat="1" applyFont="1" applyAlignment="1">
      <alignment/>
    </xf>
    <xf numFmtId="0" fontId="10" fillId="0" borderId="7" xfId="0" applyFont="1" applyBorder="1" applyAlignment="1">
      <alignment horizontal="left"/>
    </xf>
    <xf numFmtId="1" fontId="4" fillId="0" borderId="0" xfId="0" applyNumberFormat="1" applyFont="1" applyAlignment="1" quotePrefix="1">
      <alignment horizontal="left"/>
    </xf>
    <xf numFmtId="16" fontId="4" fillId="0" borderId="0" xfId="0" applyNumberFormat="1" applyFont="1" applyAlignment="1" quotePrefix="1">
      <alignment/>
    </xf>
    <xf numFmtId="16" fontId="10" fillId="0" borderId="0" xfId="0" applyNumberFormat="1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9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&#353;ek\Pl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-prihodki"/>
      <sheetName val="prorač-prihodki (2)"/>
      <sheetName val="splošni del-bilanca"/>
      <sheetName val="splošni del-bilanca (2)"/>
      <sheetName val="odhodki-post-konti"/>
      <sheetName val="odhodki-post-konti (2)"/>
      <sheetName val="odhodki-postavke "/>
      <sheetName val="šifrant"/>
      <sheetName val="odhodki-postavke  (2)"/>
      <sheetName val="šifre-KD"/>
      <sheetName val="DD"/>
      <sheetName val="skupine postavk"/>
      <sheetName val="razdelki"/>
      <sheetName val="razdelki (2)"/>
      <sheetName val="prenos99"/>
      <sheetName val="odd.za finance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5">
        <row r="1397">
          <cell r="J1397">
            <v>608390750</v>
          </cell>
          <cell r="K1397">
            <v>24620700</v>
          </cell>
          <cell r="L1397">
            <v>47812750</v>
          </cell>
          <cell r="M1397">
            <v>16681950</v>
          </cell>
          <cell r="N1397">
            <v>5960300</v>
          </cell>
          <cell r="O1397">
            <v>0</v>
          </cell>
          <cell r="P1397">
            <v>8615150</v>
          </cell>
          <cell r="Q1397">
            <v>55551600</v>
          </cell>
          <cell r="R1397">
            <v>43248750</v>
          </cell>
          <cell r="S1397">
            <v>376800</v>
          </cell>
          <cell r="T1397">
            <v>627900</v>
          </cell>
          <cell r="U1397">
            <v>289975696</v>
          </cell>
          <cell r="V1397">
            <v>8121200</v>
          </cell>
          <cell r="W1397">
            <v>95108400</v>
          </cell>
          <cell r="X1397">
            <v>12150000</v>
          </cell>
          <cell r="Y1397">
            <v>14923000</v>
          </cell>
          <cell r="Z1397">
            <v>87662900</v>
          </cell>
          <cell r="AA1397">
            <v>54877400</v>
          </cell>
          <cell r="AB1397">
            <v>163783000</v>
          </cell>
          <cell r="AC1397">
            <v>256975650</v>
          </cell>
          <cell r="AD1397">
            <v>250000</v>
          </cell>
          <cell r="AE1397">
            <v>22450000</v>
          </cell>
          <cell r="AF1397">
            <v>9073981</v>
          </cell>
          <cell r="AG1397">
            <v>62000000</v>
          </cell>
          <cell r="AH1397">
            <v>0</v>
          </cell>
          <cell r="AI1397">
            <v>96588600</v>
          </cell>
          <cell r="AJ1397">
            <v>1601700</v>
          </cell>
          <cell r="AK1397">
            <v>1993363000</v>
          </cell>
          <cell r="AL1397">
            <v>505993986</v>
          </cell>
          <cell r="AM1397">
            <v>45500000</v>
          </cell>
          <cell r="AN1397">
            <v>130000000</v>
          </cell>
          <cell r="AO1397">
            <v>312200000</v>
          </cell>
          <cell r="AQ1397">
            <v>0</v>
          </cell>
          <cell r="AR1397">
            <v>0</v>
          </cell>
          <cell r="AS1397">
            <v>108240000</v>
          </cell>
          <cell r="AT1397">
            <v>96257000</v>
          </cell>
          <cell r="AU1397">
            <v>1500000</v>
          </cell>
          <cell r="AV1397">
            <v>671291275</v>
          </cell>
          <cell r="AW1397">
            <v>93385800</v>
          </cell>
          <cell r="AX1397">
            <v>215915751</v>
          </cell>
          <cell r="AY1397">
            <v>159488185</v>
          </cell>
          <cell r="BC1397">
            <v>1885305900</v>
          </cell>
          <cell r="BG1397">
            <v>2570857241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8"/>
  <sheetViews>
    <sheetView tabSelected="1" zoomScale="80" zoomScaleNormal="8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25390625" style="1" customWidth="1"/>
    <col min="2" max="2" width="4.25390625" style="1" customWidth="1"/>
    <col min="3" max="3" width="51.125" style="1" customWidth="1"/>
    <col min="4" max="4" width="18.00390625" style="1" hidden="1" customWidth="1"/>
    <col min="5" max="7" width="17.375" style="1" hidden="1" customWidth="1"/>
    <col min="8" max="9" width="16.875" style="1" hidden="1" customWidth="1"/>
    <col min="10" max="11" width="17.375" style="1" customWidth="1"/>
    <col min="12" max="12" width="7.75390625" style="1" hidden="1" customWidth="1"/>
    <col min="13" max="13" width="17.375" style="1" customWidth="1"/>
    <col min="14" max="14" width="9.00390625" style="1" hidden="1" customWidth="1"/>
    <col min="15" max="15" width="17.625" style="1" customWidth="1"/>
    <col min="16" max="16" width="9.625" style="1" hidden="1" customWidth="1"/>
    <col min="17" max="17" width="9.00390625" style="1" hidden="1" customWidth="1"/>
    <col min="18" max="18" width="6.375" style="1" hidden="1" customWidth="1"/>
    <col min="19" max="19" width="17.625" style="1" customWidth="1"/>
    <col min="20" max="20" width="8.625" style="1" hidden="1" customWidth="1"/>
    <col min="21" max="21" width="8.625" style="1" customWidth="1"/>
    <col min="22" max="22" width="7.75390625" style="1" customWidth="1"/>
    <col min="23" max="23" width="17.375" style="1" customWidth="1"/>
    <col min="24" max="24" width="7.75390625" style="1" customWidth="1"/>
    <col min="25" max="25" width="17.625" style="1" hidden="1" customWidth="1"/>
    <col min="26" max="26" width="7.75390625" style="1" hidden="1" customWidth="1"/>
    <col min="27" max="27" width="17.625" style="1" hidden="1" customWidth="1"/>
    <col min="28" max="28" width="7.75390625" style="1" hidden="1" customWidth="1"/>
    <col min="29" max="29" width="14.25390625" style="1" hidden="1" customWidth="1"/>
    <col min="30" max="30" width="13.125" style="1" hidden="1" customWidth="1"/>
    <col min="31" max="32" width="18.125" style="1" hidden="1" customWidth="1"/>
    <col min="33" max="34" width="16.25390625" style="1" hidden="1" customWidth="1"/>
    <col min="35" max="37" width="17.625" style="1" hidden="1" customWidth="1"/>
    <col min="38" max="38" width="14.00390625" style="1" hidden="1" customWidth="1"/>
    <col min="39" max="39" width="16.375" style="1" hidden="1" customWidth="1"/>
    <col min="40" max="47" width="0" style="1" hidden="1" customWidth="1"/>
    <col min="48" max="16384" width="9.125" style="1" customWidth="1"/>
  </cols>
  <sheetData>
    <row r="1" spans="2:3" ht="20.25">
      <c r="B1" s="2" t="s">
        <v>10</v>
      </c>
      <c r="C1" s="3" t="s">
        <v>11</v>
      </c>
    </row>
    <row r="3" spans="1:39" s="6" customFormat="1" ht="18">
      <c r="A3" s="4" t="s">
        <v>12</v>
      </c>
      <c r="B3" s="5" t="s">
        <v>13</v>
      </c>
      <c r="H3" s="7"/>
      <c r="I3" s="7"/>
      <c r="J3" s="7"/>
      <c r="K3" s="8"/>
      <c r="L3" s="7"/>
      <c r="M3" s="8"/>
      <c r="N3" s="8"/>
      <c r="O3" s="8"/>
      <c r="P3" s="8"/>
      <c r="Q3" s="7"/>
      <c r="R3" s="7"/>
      <c r="S3" s="8"/>
      <c r="T3" s="8"/>
      <c r="U3" s="7"/>
      <c r="V3" s="7"/>
      <c r="W3" s="8" t="s">
        <v>14</v>
      </c>
      <c r="X3" s="7"/>
      <c r="Y3" s="8" t="s">
        <v>15</v>
      </c>
      <c r="Z3" s="7"/>
      <c r="AA3" s="8" t="s">
        <v>15</v>
      </c>
      <c r="AB3" s="7"/>
      <c r="AC3" s="8"/>
      <c r="AD3" s="8"/>
      <c r="AE3" s="8" t="s">
        <v>16</v>
      </c>
      <c r="AF3" s="8"/>
      <c r="AI3" s="8"/>
      <c r="AJ3" s="8" t="s">
        <v>17</v>
      </c>
      <c r="AK3" s="8" t="s">
        <v>14</v>
      </c>
      <c r="AL3" s="8" t="s">
        <v>18</v>
      </c>
      <c r="AM3" s="8" t="s">
        <v>19</v>
      </c>
    </row>
    <row r="4" spans="1:39" ht="12.75">
      <c r="A4" s="9"/>
      <c r="B4" s="9"/>
      <c r="C4" s="9"/>
      <c r="D4" s="9"/>
      <c r="E4" s="9"/>
      <c r="F4" s="9"/>
      <c r="G4" s="9"/>
      <c r="H4" s="10" t="s">
        <v>20</v>
      </c>
      <c r="I4" s="10" t="s">
        <v>21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I4" s="10"/>
      <c r="AJ4" s="10"/>
      <c r="AK4" s="10"/>
      <c r="AL4" s="9"/>
      <c r="AM4" s="9"/>
    </row>
    <row r="5" spans="1:39" ht="12.75">
      <c r="A5" s="11" t="s">
        <v>22</v>
      </c>
      <c r="B5" s="12"/>
      <c r="C5" s="12" t="s">
        <v>23</v>
      </c>
      <c r="D5" s="12" t="s">
        <v>24</v>
      </c>
      <c r="E5" s="12" t="s">
        <v>25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25</v>
      </c>
      <c r="K5" s="12" t="s">
        <v>26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30</v>
      </c>
      <c r="Q5" s="12" t="s">
        <v>28</v>
      </c>
      <c r="R5" s="12" t="s">
        <v>28</v>
      </c>
      <c r="S5" s="12" t="s">
        <v>26</v>
      </c>
      <c r="T5" s="12" t="s">
        <v>30</v>
      </c>
      <c r="U5" s="12" t="s">
        <v>28</v>
      </c>
      <c r="V5" s="12" t="s">
        <v>28</v>
      </c>
      <c r="W5" s="12" t="s">
        <v>26</v>
      </c>
      <c r="X5" s="12" t="s">
        <v>28</v>
      </c>
      <c r="Y5" s="12" t="s">
        <v>26</v>
      </c>
      <c r="Z5" s="12" t="s">
        <v>28</v>
      </c>
      <c r="AA5" s="12" t="s">
        <v>26</v>
      </c>
      <c r="AB5" s="12" t="s">
        <v>28</v>
      </c>
      <c r="AC5" s="12"/>
      <c r="AD5" s="12"/>
      <c r="AE5" s="12"/>
      <c r="AF5" s="12"/>
      <c r="AI5" s="12" t="s">
        <v>32</v>
      </c>
      <c r="AJ5" s="12" t="s">
        <v>32</v>
      </c>
      <c r="AK5" s="12" t="s">
        <v>32</v>
      </c>
      <c r="AL5" s="12" t="s">
        <v>33</v>
      </c>
      <c r="AM5" s="12" t="s">
        <v>33</v>
      </c>
    </row>
    <row r="6" spans="1:39" ht="12.75">
      <c r="A6" s="11" t="s">
        <v>34</v>
      </c>
      <c r="B6" s="12"/>
      <c r="C6" s="12"/>
      <c r="D6" s="12">
        <v>1997</v>
      </c>
      <c r="E6" s="12">
        <v>1997</v>
      </c>
      <c r="F6" s="12">
        <v>1998</v>
      </c>
      <c r="G6" s="12">
        <v>1998</v>
      </c>
      <c r="H6" s="12">
        <v>1999</v>
      </c>
      <c r="I6" s="12">
        <v>1999</v>
      </c>
      <c r="J6" s="12">
        <v>1999</v>
      </c>
      <c r="K6" s="12">
        <v>2000</v>
      </c>
      <c r="L6" s="12" t="s">
        <v>35</v>
      </c>
      <c r="M6" s="12">
        <v>2000</v>
      </c>
      <c r="N6" s="12" t="s">
        <v>36</v>
      </c>
      <c r="O6" s="12">
        <v>2000</v>
      </c>
      <c r="P6" s="12" t="s">
        <v>37</v>
      </c>
      <c r="Q6" s="12" t="s">
        <v>38</v>
      </c>
      <c r="R6" s="12" t="s">
        <v>39</v>
      </c>
      <c r="S6" s="12">
        <v>2001</v>
      </c>
      <c r="T6" s="12" t="s">
        <v>40</v>
      </c>
      <c r="U6" s="12" t="s">
        <v>41</v>
      </c>
      <c r="V6" s="12" t="s">
        <v>39</v>
      </c>
      <c r="W6" s="12">
        <v>2002</v>
      </c>
      <c r="X6" s="12" t="s">
        <v>42</v>
      </c>
      <c r="Y6" s="12">
        <v>2003</v>
      </c>
      <c r="Z6" s="12" t="s">
        <v>43</v>
      </c>
      <c r="AA6" s="12">
        <v>2004</v>
      </c>
      <c r="AB6" s="12" t="s">
        <v>44</v>
      </c>
      <c r="AC6" s="12"/>
      <c r="AD6" s="12"/>
      <c r="AE6" s="12"/>
      <c r="AF6" s="12"/>
      <c r="AI6" s="13">
        <v>36829</v>
      </c>
      <c r="AJ6" s="13" t="s">
        <v>45</v>
      </c>
      <c r="AK6" s="12" t="s">
        <v>46</v>
      </c>
      <c r="AL6" s="14" t="s">
        <v>47</v>
      </c>
      <c r="AM6" s="14" t="s">
        <v>47</v>
      </c>
    </row>
    <row r="7" spans="1:39" ht="13.5" thickBot="1">
      <c r="A7" s="15">
        <v>1</v>
      </c>
      <c r="B7" s="15"/>
      <c r="C7" s="15">
        <v>2</v>
      </c>
      <c r="D7" s="15">
        <v>3</v>
      </c>
      <c r="E7" s="15">
        <v>3</v>
      </c>
      <c r="F7" s="15">
        <v>4</v>
      </c>
      <c r="G7" s="15">
        <v>3</v>
      </c>
      <c r="H7" s="15">
        <v>3</v>
      </c>
      <c r="I7" s="15">
        <v>3</v>
      </c>
      <c r="J7" s="15">
        <v>3</v>
      </c>
      <c r="K7" s="15">
        <v>4</v>
      </c>
      <c r="L7" s="15">
        <v>5</v>
      </c>
      <c r="M7" s="15">
        <v>5</v>
      </c>
      <c r="N7" s="15"/>
      <c r="O7" s="15">
        <v>6</v>
      </c>
      <c r="P7" s="15"/>
      <c r="Q7" s="15">
        <v>8</v>
      </c>
      <c r="R7" s="15">
        <v>9</v>
      </c>
      <c r="S7" s="15">
        <v>7</v>
      </c>
      <c r="T7" s="15"/>
      <c r="U7" s="15">
        <v>8</v>
      </c>
      <c r="V7" s="15">
        <v>9</v>
      </c>
      <c r="W7" s="15">
        <v>10</v>
      </c>
      <c r="X7" s="15">
        <v>11</v>
      </c>
      <c r="Y7" s="15">
        <v>13</v>
      </c>
      <c r="Z7" s="15">
        <v>14</v>
      </c>
      <c r="AA7" s="15">
        <v>15</v>
      </c>
      <c r="AB7" s="15">
        <v>16</v>
      </c>
      <c r="AC7" s="15"/>
      <c r="AD7" s="15"/>
      <c r="AE7" s="15"/>
      <c r="AF7" s="15"/>
      <c r="AI7" s="15">
        <v>3</v>
      </c>
      <c r="AJ7" s="15">
        <v>3</v>
      </c>
      <c r="AK7" s="15">
        <v>4</v>
      </c>
      <c r="AL7" s="15">
        <v>5</v>
      </c>
      <c r="AM7" s="15">
        <v>5</v>
      </c>
    </row>
    <row r="8" ht="13.5" thickTop="1"/>
    <row r="9" spans="2:39" s="16" customFormat="1" ht="15.75">
      <c r="B9" s="17" t="s">
        <v>48</v>
      </c>
      <c r="C9" s="18" t="s">
        <v>49</v>
      </c>
      <c r="D9" s="19">
        <f>D14+D88+D208+D235+D283</f>
        <v>10022781000</v>
      </c>
      <c r="E9" s="19">
        <f>E14+E88+E208+E235+E283</f>
        <v>12206887310.48</v>
      </c>
      <c r="F9" s="19">
        <f>F14+F88+F208+F235+F283</f>
        <v>11343436000</v>
      </c>
      <c r="G9" s="19">
        <f>G14+G88+G208+G229+G235+G283</f>
        <v>12435195509.609999</v>
      </c>
      <c r="H9" s="19">
        <f>H14+H88+H208+H235+H283</f>
        <v>11686600209</v>
      </c>
      <c r="I9" s="19">
        <f>I14+I88+I208+I229+I235+I283</f>
        <v>12269412634</v>
      </c>
      <c r="J9" s="19">
        <f>J14+J88+J208+J229+J235+J283</f>
        <v>11698232747.39</v>
      </c>
      <c r="K9" s="19">
        <f>K14+K88+K208+K229+K235+K283</f>
        <v>12421714000</v>
      </c>
      <c r="L9" s="20">
        <f>K9/J9*100</f>
        <v>106.18453460648931</v>
      </c>
      <c r="M9" s="19">
        <f>M14+M88+M208+M229+M235+M283</f>
        <v>13544287303</v>
      </c>
      <c r="N9" s="21">
        <f>N14+N88+N208+N229+N235+N283</f>
        <v>0.9999999999999999</v>
      </c>
      <c r="O9" s="19">
        <f>O14+O88+O208+O229+O235+O283</f>
        <v>13042823925</v>
      </c>
      <c r="P9" s="19"/>
      <c r="Q9" s="20">
        <f>O9/J9*100</f>
        <v>111.4939684193751</v>
      </c>
      <c r="R9" s="20">
        <f>O9/M9*100</f>
        <v>96.2976023264884</v>
      </c>
      <c r="S9" s="19">
        <f>S14+S88+S208+S229+S235+S283</f>
        <v>14530953950</v>
      </c>
      <c r="T9" s="21">
        <f>T14+T88+T208+T229+T235+T283</f>
        <v>1</v>
      </c>
      <c r="U9" s="20">
        <f>S9/M9*100</f>
        <v>107.28474392876662</v>
      </c>
      <c r="V9" s="20">
        <f>S9/O9*100</f>
        <v>111.40956922793083</v>
      </c>
      <c r="W9" s="19">
        <f>W14+W88+W208+W229+W235+W283</f>
        <v>13911642700</v>
      </c>
      <c r="X9" s="20">
        <f>W9/S9*100</f>
        <v>95.73798628685351</v>
      </c>
      <c r="Y9" s="19">
        <f>Y14+Y88+Y208+Y229+Y235+Y283</f>
        <v>14272367000</v>
      </c>
      <c r="Z9" s="20">
        <f>Y9/W9*100</f>
        <v>102.5929669685953</v>
      </c>
      <c r="AA9" s="19">
        <f>AA14+AA88+AA208+AA229+AA235+AA283</f>
        <v>14831752000</v>
      </c>
      <c r="AB9" s="20">
        <f>AA9/Y9*100</f>
        <v>103.91935689433996</v>
      </c>
      <c r="AC9" s="19"/>
      <c r="AD9" s="19"/>
      <c r="AE9" s="19"/>
      <c r="AF9" s="19"/>
      <c r="AI9" s="19">
        <f>AI14+AI88+AI208+AI229+AI235+AI283</f>
        <v>13855159000</v>
      </c>
      <c r="AJ9" s="19">
        <f>AJ14+AJ88+AJ208+AJ229+AJ235+AJ283</f>
        <v>14493121200</v>
      </c>
      <c r="AK9" s="19">
        <f>AK14+AK88+AK208+AK229+AK235+AK283</f>
        <v>14530953950</v>
      </c>
      <c r="AL9" s="19">
        <f>AJ9-AI9</f>
        <v>637962200</v>
      </c>
      <c r="AM9" s="19">
        <f>AK9-AJ9</f>
        <v>37832750</v>
      </c>
    </row>
    <row r="10" spans="3:39" s="16" customFormat="1" ht="15.75">
      <c r="C10" s="22" t="s">
        <v>50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3"/>
      <c r="P10" s="23"/>
      <c r="Q10" s="23"/>
      <c r="R10" s="23"/>
      <c r="S10" s="23"/>
      <c r="T10" s="24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I10" s="23"/>
      <c r="AJ10" s="23"/>
      <c r="AK10" s="23"/>
      <c r="AL10" s="23"/>
      <c r="AM10" s="23"/>
    </row>
    <row r="11" spans="4:39" ht="9" customHeight="1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I11" s="25"/>
      <c r="AJ11" s="25"/>
      <c r="AK11" s="25"/>
      <c r="AL11" s="25"/>
      <c r="AM11" s="25"/>
    </row>
    <row r="12" spans="3:39" s="16" customFormat="1" ht="15.75">
      <c r="C12" s="27" t="s">
        <v>51</v>
      </c>
      <c r="D12" s="19">
        <f aca="true" t="shared" si="0" ref="D12:K12">D14+D88</f>
        <v>8744936300</v>
      </c>
      <c r="E12" s="19">
        <f t="shared" si="0"/>
        <v>8403084542</v>
      </c>
      <c r="F12" s="19">
        <f t="shared" si="0"/>
        <v>9466500200</v>
      </c>
      <c r="G12" s="19">
        <f t="shared" si="0"/>
        <v>9338529994.05</v>
      </c>
      <c r="H12" s="19">
        <f t="shared" si="0"/>
        <v>10022196229</v>
      </c>
      <c r="I12" s="19">
        <f t="shared" si="0"/>
        <v>10344121354</v>
      </c>
      <c r="J12" s="19">
        <f t="shared" si="0"/>
        <v>9962862071.05</v>
      </c>
      <c r="K12" s="19">
        <f t="shared" si="0"/>
        <v>10870703000</v>
      </c>
      <c r="L12" s="20">
        <f>K12/J12*100</f>
        <v>109.11225029992131</v>
      </c>
      <c r="M12" s="19">
        <f>M14+M88</f>
        <v>11749533178</v>
      </c>
      <c r="N12" s="21">
        <f>M12/$M$9</f>
        <v>0.8674899546318343</v>
      </c>
      <c r="O12" s="19">
        <f>O14+O88</f>
        <v>11665135000</v>
      </c>
      <c r="P12" s="19"/>
      <c r="Q12" s="20">
        <f>O12/J12*100</f>
        <v>117.08618383763888</v>
      </c>
      <c r="R12" s="20">
        <f>O12/M12*100</f>
        <v>99.28168909588656</v>
      </c>
      <c r="S12" s="19">
        <f>S14+S88</f>
        <v>12404294550</v>
      </c>
      <c r="T12" s="21">
        <f>S12/$S$9</f>
        <v>0.8536462638779473</v>
      </c>
      <c r="U12" s="20">
        <f>S12/M12*100</f>
        <v>105.57265860762864</v>
      </c>
      <c r="V12" s="20">
        <f>S12/O12*100</f>
        <v>106.33648517569665</v>
      </c>
      <c r="W12" s="19">
        <f>W14+W88</f>
        <v>12945740000</v>
      </c>
      <c r="X12" s="20">
        <f>W12/S12*100</f>
        <v>104.36498381925314</v>
      </c>
      <c r="Y12" s="19">
        <f>Y14+Y88</f>
        <v>13603207000</v>
      </c>
      <c r="Z12" s="20">
        <f>Y12/W12*100</f>
        <v>105.07863590648353</v>
      </c>
      <c r="AA12" s="19">
        <f>AA14+AA88</f>
        <v>14154607000</v>
      </c>
      <c r="AB12" s="20">
        <f>AA12/Y12*100</f>
        <v>104.05345592403322</v>
      </c>
      <c r="AC12" s="19"/>
      <c r="AD12" s="19"/>
      <c r="AE12" s="19"/>
      <c r="AF12" s="19"/>
      <c r="AI12" s="19">
        <f>AI14+AI88</f>
        <v>12375517000</v>
      </c>
      <c r="AJ12" s="19">
        <f>AJ14+AJ88</f>
        <v>12386517000</v>
      </c>
      <c r="AK12" s="19">
        <f>AK14+AK88</f>
        <v>12404294550</v>
      </c>
      <c r="AL12" s="19">
        <f>AJ12-AI12</f>
        <v>11000000</v>
      </c>
      <c r="AM12" s="19">
        <f>AK12-AJ12</f>
        <v>17777550</v>
      </c>
    </row>
    <row r="13" spans="4:39" ht="9" customHeight="1"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5"/>
      <c r="P13" s="25"/>
      <c r="Q13" s="25"/>
      <c r="R13" s="25"/>
      <c r="S13" s="25"/>
      <c r="T13" s="26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I13" s="25"/>
      <c r="AJ13" s="25"/>
      <c r="AK13" s="25"/>
      <c r="AL13" s="25"/>
      <c r="AM13" s="25"/>
    </row>
    <row r="14" spans="1:39" s="16" customFormat="1" ht="15.75">
      <c r="A14" s="28">
        <v>70</v>
      </c>
      <c r="B14" s="27"/>
      <c r="C14" s="27" t="s">
        <v>52</v>
      </c>
      <c r="D14" s="19">
        <f aca="true" t="shared" si="1" ref="D14:K14">D17+D39+D60+D85</f>
        <v>6066000000</v>
      </c>
      <c r="E14" s="19">
        <f t="shared" si="1"/>
        <v>6133053175</v>
      </c>
      <c r="F14" s="19">
        <f t="shared" si="1"/>
        <v>6921948200</v>
      </c>
      <c r="G14" s="19">
        <f t="shared" si="1"/>
        <v>6837043954.97</v>
      </c>
      <c r="H14" s="19">
        <f t="shared" si="1"/>
        <v>7308091629</v>
      </c>
      <c r="I14" s="19">
        <f t="shared" si="1"/>
        <v>7700445854</v>
      </c>
      <c r="J14" s="19">
        <f t="shared" si="1"/>
        <v>7587047170.34</v>
      </c>
      <c r="K14" s="19">
        <f t="shared" si="1"/>
        <v>8245200000</v>
      </c>
      <c r="L14" s="20">
        <f>K14/J14*100</f>
        <v>108.67469009857898</v>
      </c>
      <c r="M14" s="19">
        <f>M17+M39+M60+M85</f>
        <v>8800558178</v>
      </c>
      <c r="N14" s="21">
        <f>M14/$M$9</f>
        <v>0.6497616287311563</v>
      </c>
      <c r="O14" s="19">
        <f>O17+O39+O60+O85</f>
        <v>8587600000</v>
      </c>
      <c r="P14" s="19"/>
      <c r="Q14" s="20">
        <f>O14/J14*100</f>
        <v>113.18764477399661</v>
      </c>
      <c r="R14" s="20">
        <f>O14/M14*100</f>
        <v>97.58017419244655</v>
      </c>
      <c r="S14" s="19">
        <f>S17+S39+S60+S85</f>
        <v>9579430000</v>
      </c>
      <c r="T14" s="21">
        <f>S14/$S$9</f>
        <v>0.659243022375692</v>
      </c>
      <c r="U14" s="20">
        <f>S14/M14*100</f>
        <v>108.85025479346362</v>
      </c>
      <c r="V14" s="20">
        <f>S14/O14*100</f>
        <v>111.5495598304532</v>
      </c>
      <c r="W14" s="19">
        <f>W17+W39+W60+W85</f>
        <v>10051630000</v>
      </c>
      <c r="X14" s="20">
        <f>W14/S14*100</f>
        <v>104.92931207806728</v>
      </c>
      <c r="Y14" s="19">
        <f>Y17+Y39+Y60+Y85</f>
        <v>10657350000</v>
      </c>
      <c r="Z14" s="20">
        <f>Y14/W14*100</f>
        <v>106.02608731121221</v>
      </c>
      <c r="AA14" s="19">
        <f>AA17+AA39+AA60+AA85</f>
        <v>11163070000</v>
      </c>
      <c r="AB14" s="20">
        <f>AA14/Y14*100</f>
        <v>104.74526969650053</v>
      </c>
      <c r="AC14" s="19"/>
      <c r="AD14" s="19"/>
      <c r="AE14" s="19"/>
      <c r="AF14" s="19"/>
      <c r="AI14" s="19">
        <f>AI17+AI39+AI60+AI85</f>
        <v>9571430000</v>
      </c>
      <c r="AJ14" s="19">
        <f>AJ17+AJ39+AJ60+AJ85</f>
        <v>9574430000</v>
      </c>
      <c r="AK14" s="19">
        <f>AK17+AK39+AK60+AK85</f>
        <v>9579430000</v>
      </c>
      <c r="AL14" s="19">
        <f>AJ14-AI14</f>
        <v>3000000</v>
      </c>
      <c r="AM14" s="19">
        <f>AK14-AJ14</f>
        <v>5000000</v>
      </c>
    </row>
    <row r="15" spans="1:39" ht="12.75">
      <c r="A15" s="29"/>
      <c r="C15" s="30" t="s">
        <v>53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5"/>
      <c r="P15" s="25"/>
      <c r="Q15" s="25"/>
      <c r="R15" s="25"/>
      <c r="S15" s="25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 t="s">
        <v>54</v>
      </c>
      <c r="AF15" s="25" t="s">
        <v>55</v>
      </c>
      <c r="AG15" s="31" t="s">
        <v>56</v>
      </c>
      <c r="AH15" s="31" t="s">
        <v>57</v>
      </c>
      <c r="AI15" s="25"/>
      <c r="AJ15" s="25"/>
      <c r="AK15" s="25"/>
      <c r="AL15" s="25"/>
      <c r="AM15" s="25"/>
    </row>
    <row r="16" spans="1:39" ht="9" customHeight="1">
      <c r="A16" s="2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5"/>
      <c r="P16" s="25"/>
      <c r="Q16" s="25"/>
      <c r="R16" s="25"/>
      <c r="S16" s="25"/>
      <c r="T16" s="26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32" t="s">
        <v>58</v>
      </c>
      <c r="AF16" s="32" t="s">
        <v>59</v>
      </c>
      <c r="AG16" s="33" t="s">
        <v>58</v>
      </c>
      <c r="AH16" s="33" t="s">
        <v>59</v>
      </c>
      <c r="AI16" s="25"/>
      <c r="AJ16" s="25"/>
      <c r="AK16" s="25"/>
      <c r="AL16" s="25"/>
      <c r="AM16" s="25"/>
    </row>
    <row r="17" spans="1:39" s="35" customFormat="1" ht="12.75">
      <c r="A17" s="34">
        <v>700</v>
      </c>
      <c r="C17" s="35" t="s">
        <v>60</v>
      </c>
      <c r="D17" s="36">
        <f aca="true" t="shared" si="2" ref="D17:K17">D18</f>
        <v>3993000000</v>
      </c>
      <c r="E17" s="36">
        <f t="shared" si="2"/>
        <v>3779812277</v>
      </c>
      <c r="F17" s="36">
        <f t="shared" si="2"/>
        <v>4349000000</v>
      </c>
      <c r="G17" s="36">
        <f t="shared" si="2"/>
        <v>4180240102</v>
      </c>
      <c r="H17" s="36">
        <f t="shared" si="2"/>
        <v>4732500000</v>
      </c>
      <c r="I17" s="36">
        <f t="shared" si="2"/>
        <v>5075000000</v>
      </c>
      <c r="J17" s="36">
        <f t="shared" si="2"/>
        <v>4956166380</v>
      </c>
      <c r="K17" s="36">
        <f t="shared" si="2"/>
        <v>5505000000</v>
      </c>
      <c r="L17" s="37">
        <f aca="true" t="shared" si="3" ref="L17:L32">K17/J17*100</f>
        <v>111.07375293563086</v>
      </c>
      <c r="M17" s="36">
        <f>M18</f>
        <v>5505000000</v>
      </c>
      <c r="N17" s="38">
        <f aca="true" t="shared" si="4" ref="N17:N48">M17/$M$9</f>
        <v>0.40644442020811733</v>
      </c>
      <c r="O17" s="36">
        <f>O18</f>
        <v>5453000000</v>
      </c>
      <c r="P17" s="36"/>
      <c r="Q17" s="37">
        <f aca="true" t="shared" si="5" ref="Q17:Q32">O17/J17*100</f>
        <v>110.02455490608449</v>
      </c>
      <c r="R17" s="37">
        <f aca="true" t="shared" si="6" ref="R17:R32">O17/M17*100</f>
        <v>99.05540417801998</v>
      </c>
      <c r="S17" s="36">
        <f>S18</f>
        <v>5858000000</v>
      </c>
      <c r="T17" s="38">
        <f aca="true" t="shared" si="7" ref="T17:T48">S17/$S$9</f>
        <v>0.40313939608899524</v>
      </c>
      <c r="U17" s="37">
        <f aca="true" t="shared" si="8" ref="U17:U32">S17/M17*100</f>
        <v>106.41235240690281</v>
      </c>
      <c r="V17" s="37">
        <f aca="true" t="shared" si="9" ref="V17:V32">S17/O17*100</f>
        <v>107.42710434623145</v>
      </c>
      <c r="W17" s="36">
        <f>W18</f>
        <v>6472000000</v>
      </c>
      <c r="X17" s="37">
        <f aca="true" t="shared" si="10" ref="X17:X32">W17/S17*100</f>
        <v>110.48139296688288</v>
      </c>
      <c r="Y17" s="36">
        <f>Y18</f>
        <v>6957000000</v>
      </c>
      <c r="Z17" s="37">
        <f>Y17/W17*100</f>
        <v>107.4938195302843</v>
      </c>
      <c r="AA17" s="36">
        <f>AA18</f>
        <v>7437000000</v>
      </c>
      <c r="AB17" s="37">
        <f>AA17/Y17*100</f>
        <v>106.89952565761105</v>
      </c>
      <c r="AC17" s="36"/>
      <c r="AD17" s="36"/>
      <c r="AE17" s="36"/>
      <c r="AF17" s="36"/>
      <c r="AG17" s="36"/>
      <c r="AH17" s="36"/>
      <c r="AI17" s="36">
        <f>AI18</f>
        <v>5804000000</v>
      </c>
      <c r="AJ17" s="36">
        <f>AJ18</f>
        <v>5804000000</v>
      </c>
      <c r="AK17" s="36">
        <f>AK18</f>
        <v>5858000000</v>
      </c>
      <c r="AL17" s="36">
        <f aca="true" t="shared" si="11" ref="AL17:AL32">AJ17-AI17</f>
        <v>0</v>
      </c>
      <c r="AM17" s="36">
        <f aca="true" t="shared" si="12" ref="AM17:AM32">AK17-AJ17</f>
        <v>54000000</v>
      </c>
    </row>
    <row r="18" spans="1:39" s="35" customFormat="1" ht="12.75">
      <c r="A18" s="34">
        <v>7000</v>
      </c>
      <c r="C18" s="35" t="s">
        <v>61</v>
      </c>
      <c r="D18" s="36">
        <f aca="true" t="shared" si="13" ref="D18:K18">SUM(D19:D37)</f>
        <v>3993000000</v>
      </c>
      <c r="E18" s="36">
        <f t="shared" si="13"/>
        <v>3779812277</v>
      </c>
      <c r="F18" s="36">
        <f t="shared" si="13"/>
        <v>4349000000</v>
      </c>
      <c r="G18" s="36">
        <f t="shared" si="13"/>
        <v>4180240102</v>
      </c>
      <c r="H18" s="36">
        <f t="shared" si="13"/>
        <v>4732500000</v>
      </c>
      <c r="I18" s="36">
        <f t="shared" si="13"/>
        <v>5075000000</v>
      </c>
      <c r="J18" s="36">
        <f t="shared" si="13"/>
        <v>4956166380</v>
      </c>
      <c r="K18" s="36">
        <f t="shared" si="13"/>
        <v>5505000000</v>
      </c>
      <c r="L18" s="37">
        <f t="shared" si="3"/>
        <v>111.07375293563086</v>
      </c>
      <c r="M18" s="36">
        <f>SUM(M19:M37)</f>
        <v>5505000000</v>
      </c>
      <c r="N18" s="38">
        <f t="shared" si="4"/>
        <v>0.40644442020811733</v>
      </c>
      <c r="O18" s="36">
        <f>SUM(O19:O37)</f>
        <v>5453000000</v>
      </c>
      <c r="P18" s="36"/>
      <c r="Q18" s="37">
        <f t="shared" si="5"/>
        <v>110.02455490608449</v>
      </c>
      <c r="R18" s="37">
        <f t="shared" si="6"/>
        <v>99.05540417801998</v>
      </c>
      <c r="S18" s="36">
        <f>SUM(S19:S37)</f>
        <v>5858000000</v>
      </c>
      <c r="T18" s="38">
        <f t="shared" si="7"/>
        <v>0.40313939608899524</v>
      </c>
      <c r="U18" s="37">
        <f t="shared" si="8"/>
        <v>106.41235240690281</v>
      </c>
      <c r="V18" s="37">
        <f t="shared" si="9"/>
        <v>107.42710434623145</v>
      </c>
      <c r="W18" s="36">
        <f>SUM(W19:W37)</f>
        <v>6472000000</v>
      </c>
      <c r="X18" s="37">
        <f t="shared" si="10"/>
        <v>110.48139296688288</v>
      </c>
      <c r="Y18" s="36">
        <f>SUM(Y19:Y37)</f>
        <v>6957000000</v>
      </c>
      <c r="Z18" s="37">
        <f>Y18/W18*100</f>
        <v>107.4938195302843</v>
      </c>
      <c r="AA18" s="36">
        <f>SUM(AA19:AA37)</f>
        <v>7437000000</v>
      </c>
      <c r="AB18" s="37">
        <f>AA18/Y18*100</f>
        <v>106.89952565761105</v>
      </c>
      <c r="AC18" s="36"/>
      <c r="AD18" s="36"/>
      <c r="AE18" s="36">
        <f aca="true" t="shared" si="14" ref="AE18:AK18">SUM(AE19:AE37)</f>
        <v>5818785000</v>
      </c>
      <c r="AF18" s="36">
        <f t="shared" si="14"/>
        <v>6080630325</v>
      </c>
      <c r="AG18" s="36">
        <f t="shared" si="14"/>
        <v>6005955000</v>
      </c>
      <c r="AH18" s="36">
        <f t="shared" si="14"/>
        <v>6474419490.000001</v>
      </c>
      <c r="AI18" s="36">
        <f t="shared" si="14"/>
        <v>5804000000</v>
      </c>
      <c r="AJ18" s="36">
        <f t="shared" si="14"/>
        <v>5804000000</v>
      </c>
      <c r="AK18" s="36">
        <f t="shared" si="14"/>
        <v>5858000000</v>
      </c>
      <c r="AL18" s="36">
        <f t="shared" si="11"/>
        <v>0</v>
      </c>
      <c r="AM18" s="36">
        <f t="shared" si="12"/>
        <v>54000000</v>
      </c>
    </row>
    <row r="19" spans="1:39" s="40" customFormat="1" ht="12.75" customHeight="1">
      <c r="A19" s="39" t="s">
        <v>62</v>
      </c>
      <c r="C19" s="40" t="s">
        <v>63</v>
      </c>
      <c r="D19" s="31">
        <v>100000000</v>
      </c>
      <c r="E19" s="31">
        <v>90344056</v>
      </c>
      <c r="F19" s="31">
        <v>90000000</v>
      </c>
      <c r="G19" s="31">
        <v>128525066</v>
      </c>
      <c r="H19" s="31">
        <v>144900000</v>
      </c>
      <c r="I19" s="31">
        <v>120000000</v>
      </c>
      <c r="J19" s="31">
        <v>147820029</v>
      </c>
      <c r="K19" s="31">
        <f>127000000+3000000</f>
        <v>130000000</v>
      </c>
      <c r="L19" s="41">
        <f t="shared" si="3"/>
        <v>87.94478047355815</v>
      </c>
      <c r="M19" s="31">
        <f>127000000+3000000</f>
        <v>130000000</v>
      </c>
      <c r="N19" s="42">
        <f t="shared" si="4"/>
        <v>0.009598142529891962</v>
      </c>
      <c r="O19" s="31">
        <f>127000000+3000000-52000000</f>
        <v>78000000</v>
      </c>
      <c r="P19" s="31"/>
      <c r="Q19" s="41">
        <f t="shared" si="5"/>
        <v>52.766868284134894</v>
      </c>
      <c r="R19" s="41">
        <f t="shared" si="6"/>
        <v>60</v>
      </c>
      <c r="S19" s="31">
        <f>142000000-147000000</f>
        <v>-5000000</v>
      </c>
      <c r="T19" s="42">
        <f t="shared" si="7"/>
        <v>-0.00034409303182741143</v>
      </c>
      <c r="U19" s="41">
        <f t="shared" si="8"/>
        <v>-3.8461538461538463</v>
      </c>
      <c r="V19" s="41">
        <f t="shared" si="9"/>
        <v>-6.41025641025641</v>
      </c>
      <c r="W19" s="31">
        <v>152000000</v>
      </c>
      <c r="X19" s="41">
        <f t="shared" si="10"/>
        <v>-3040</v>
      </c>
      <c r="Y19" s="31">
        <v>6957000000</v>
      </c>
      <c r="Z19" s="41">
        <f>Y19/W19*100</f>
        <v>4576.973684210526</v>
      </c>
      <c r="AA19" s="31">
        <v>7437000000</v>
      </c>
      <c r="AB19" s="41">
        <f>AA19/Y19*100</f>
        <v>106.89952565761105</v>
      </c>
      <c r="AC19" s="31"/>
      <c r="AD19" s="31"/>
      <c r="AE19" s="31">
        <f aca="true" t="shared" si="15" ref="AE19:AE50">M19*1.057</f>
        <v>137410000</v>
      </c>
      <c r="AF19" s="31">
        <f aca="true" t="shared" si="16" ref="AF19:AF37">AE19*1.045</f>
        <v>143593450</v>
      </c>
      <c r="AG19" s="31">
        <f aca="true" t="shared" si="17" ref="AG19:AG37">M19*1.091</f>
        <v>141830000</v>
      </c>
      <c r="AH19" s="31">
        <f aca="true" t="shared" si="18" ref="AH19:AH37">AG19*1.078</f>
        <v>152892740</v>
      </c>
      <c r="AI19" s="31">
        <f>140000000-147000000</f>
        <v>-7000000</v>
      </c>
      <c r="AJ19" s="31">
        <f>140000000-147000000</f>
        <v>-7000000</v>
      </c>
      <c r="AK19" s="31">
        <f>142000000-147000000</f>
        <v>-5000000</v>
      </c>
      <c r="AL19" s="31">
        <f t="shared" si="11"/>
        <v>0</v>
      </c>
      <c r="AM19" s="31">
        <f t="shared" si="12"/>
        <v>2000000</v>
      </c>
    </row>
    <row r="20" spans="1:39" s="40" customFormat="1" ht="12.75" customHeight="1">
      <c r="A20" s="39" t="s">
        <v>64</v>
      </c>
      <c r="C20" s="40" t="s">
        <v>65</v>
      </c>
      <c r="D20" s="31">
        <v>3530000000</v>
      </c>
      <c r="E20" s="31">
        <v>3313551547</v>
      </c>
      <c r="F20" s="31">
        <v>3850000000</v>
      </c>
      <c r="G20" s="31">
        <v>3493811998</v>
      </c>
      <c r="H20" s="31">
        <v>3965000000</v>
      </c>
      <c r="I20" s="31">
        <v>4323000000</v>
      </c>
      <c r="J20" s="31">
        <v>4192626668</v>
      </c>
      <c r="K20" s="31">
        <f>4590000000+100000000</f>
        <v>4690000000</v>
      </c>
      <c r="L20" s="41">
        <f t="shared" si="3"/>
        <v>111.86304842728248</v>
      </c>
      <c r="M20" s="31">
        <f>4590000000+100000000</f>
        <v>4690000000</v>
      </c>
      <c r="N20" s="42">
        <f t="shared" si="4"/>
        <v>0.34627144973225615</v>
      </c>
      <c r="O20" s="31">
        <f>4590000000+100000000</f>
        <v>4690000000</v>
      </c>
      <c r="P20" s="31"/>
      <c r="Q20" s="41">
        <f t="shared" si="5"/>
        <v>111.86304842728248</v>
      </c>
      <c r="R20" s="41">
        <f t="shared" si="6"/>
        <v>100</v>
      </c>
      <c r="S20" s="31">
        <v>5116000000</v>
      </c>
      <c r="T20" s="42">
        <f t="shared" si="7"/>
        <v>0.3520759901658074</v>
      </c>
      <c r="U20" s="41">
        <f t="shared" si="8"/>
        <v>109.08315565031982</v>
      </c>
      <c r="V20" s="41">
        <f t="shared" si="9"/>
        <v>109.08315565031982</v>
      </c>
      <c r="W20" s="31">
        <v>5515000000</v>
      </c>
      <c r="X20" s="41">
        <f t="shared" si="10"/>
        <v>107.79906176700547</v>
      </c>
      <c r="Y20" s="31"/>
      <c r="Z20" s="41"/>
      <c r="AA20" s="31"/>
      <c r="AB20" s="41"/>
      <c r="AC20" s="31"/>
      <c r="AD20" s="31"/>
      <c r="AE20" s="31">
        <f t="shared" si="15"/>
        <v>4957330000</v>
      </c>
      <c r="AF20" s="31">
        <f t="shared" si="16"/>
        <v>5180409850</v>
      </c>
      <c r="AG20" s="31">
        <f t="shared" si="17"/>
        <v>5116790000</v>
      </c>
      <c r="AH20" s="31">
        <f t="shared" si="18"/>
        <v>5515899620</v>
      </c>
      <c r="AI20" s="31">
        <v>5070000000</v>
      </c>
      <c r="AJ20" s="31">
        <v>5070000000</v>
      </c>
      <c r="AK20" s="31">
        <v>5116000000</v>
      </c>
      <c r="AL20" s="31">
        <f t="shared" si="11"/>
        <v>0</v>
      </c>
      <c r="AM20" s="31">
        <f t="shared" si="12"/>
        <v>46000000</v>
      </c>
    </row>
    <row r="21" spans="1:39" s="40" customFormat="1" ht="12.75" customHeight="1">
      <c r="A21" s="39" t="s">
        <v>66</v>
      </c>
      <c r="C21" s="40" t="s">
        <v>67</v>
      </c>
      <c r="D21" s="31"/>
      <c r="E21" s="31"/>
      <c r="F21" s="31"/>
      <c r="G21" s="31">
        <v>52912749</v>
      </c>
      <c r="H21" s="31">
        <v>61900000</v>
      </c>
      <c r="I21" s="31">
        <v>68000000</v>
      </c>
      <c r="J21" s="31">
        <v>64987855</v>
      </c>
      <c r="K21" s="31">
        <f>72000000+4000000</f>
        <v>76000000</v>
      </c>
      <c r="L21" s="41">
        <f t="shared" si="3"/>
        <v>116.94492763301696</v>
      </c>
      <c r="M21" s="31">
        <f>72000000+4000000</f>
        <v>76000000</v>
      </c>
      <c r="N21" s="42">
        <f t="shared" si="4"/>
        <v>0.0056112217867060705</v>
      </c>
      <c r="O21" s="31">
        <f>72000000+4000000</f>
        <v>76000000</v>
      </c>
      <c r="P21" s="31"/>
      <c r="Q21" s="41">
        <f t="shared" si="5"/>
        <v>116.94492763301696</v>
      </c>
      <c r="R21" s="41">
        <f t="shared" si="6"/>
        <v>100</v>
      </c>
      <c r="S21" s="31">
        <v>82900000</v>
      </c>
      <c r="T21" s="42">
        <f t="shared" si="7"/>
        <v>0.005705062467698482</v>
      </c>
      <c r="U21" s="41">
        <f t="shared" si="8"/>
        <v>109.07894736842105</v>
      </c>
      <c r="V21" s="41">
        <f t="shared" si="9"/>
        <v>109.07894736842105</v>
      </c>
      <c r="W21" s="31">
        <v>89400000</v>
      </c>
      <c r="X21" s="41">
        <f t="shared" si="10"/>
        <v>107.84077201447526</v>
      </c>
      <c r="Y21" s="31"/>
      <c r="Z21" s="41"/>
      <c r="AA21" s="31"/>
      <c r="AB21" s="41"/>
      <c r="AC21" s="31"/>
      <c r="AD21" s="31"/>
      <c r="AE21" s="31">
        <f t="shared" si="15"/>
        <v>80332000</v>
      </c>
      <c r="AF21" s="31">
        <f t="shared" si="16"/>
        <v>83946940</v>
      </c>
      <c r="AG21" s="31">
        <f t="shared" si="17"/>
        <v>82916000</v>
      </c>
      <c r="AH21" s="31">
        <f t="shared" si="18"/>
        <v>89383448</v>
      </c>
      <c r="AI21" s="31">
        <v>82200000</v>
      </c>
      <c r="AJ21" s="31">
        <v>82200000</v>
      </c>
      <c r="AK21" s="31">
        <v>82900000</v>
      </c>
      <c r="AL21" s="31">
        <f t="shared" si="11"/>
        <v>0</v>
      </c>
      <c r="AM21" s="31">
        <f t="shared" si="12"/>
        <v>700000</v>
      </c>
    </row>
    <row r="22" spans="1:39" s="40" customFormat="1" ht="12.75" customHeight="1">
      <c r="A22" s="39" t="s">
        <v>68</v>
      </c>
      <c r="C22" s="40" t="s">
        <v>69</v>
      </c>
      <c r="D22" s="31"/>
      <c r="E22" s="31"/>
      <c r="F22" s="31"/>
      <c r="G22" s="31">
        <v>88240451</v>
      </c>
      <c r="H22" s="31">
        <v>90800000</v>
      </c>
      <c r="I22" s="31">
        <v>100000000</v>
      </c>
      <c r="J22" s="31">
        <v>97955667</v>
      </c>
      <c r="K22" s="31">
        <v>106000000</v>
      </c>
      <c r="L22" s="41">
        <f t="shared" si="3"/>
        <v>108.21221808432992</v>
      </c>
      <c r="M22" s="31">
        <v>106000000</v>
      </c>
      <c r="N22" s="42">
        <f t="shared" si="4"/>
        <v>0.007826177755142676</v>
      </c>
      <c r="O22" s="31">
        <v>106000000</v>
      </c>
      <c r="P22" s="31"/>
      <c r="Q22" s="41">
        <f t="shared" si="5"/>
        <v>108.21221808432992</v>
      </c>
      <c r="R22" s="41">
        <f t="shared" si="6"/>
        <v>100</v>
      </c>
      <c r="S22" s="31">
        <v>115600000</v>
      </c>
      <c r="T22" s="42">
        <f t="shared" si="7"/>
        <v>0.007955430895849753</v>
      </c>
      <c r="U22" s="41">
        <f t="shared" si="8"/>
        <v>109.0566037735849</v>
      </c>
      <c r="V22" s="41">
        <f t="shared" si="9"/>
        <v>109.0566037735849</v>
      </c>
      <c r="W22" s="31">
        <v>124600000</v>
      </c>
      <c r="X22" s="41">
        <f t="shared" si="10"/>
        <v>107.78546712802768</v>
      </c>
      <c r="Y22" s="31"/>
      <c r="Z22" s="41"/>
      <c r="AA22" s="31"/>
      <c r="AB22" s="41"/>
      <c r="AC22" s="31"/>
      <c r="AD22" s="31"/>
      <c r="AE22" s="31">
        <f t="shared" si="15"/>
        <v>112042000</v>
      </c>
      <c r="AF22" s="31">
        <f t="shared" si="16"/>
        <v>117083889.99999999</v>
      </c>
      <c r="AG22" s="31">
        <f t="shared" si="17"/>
        <v>115646000</v>
      </c>
      <c r="AH22" s="31">
        <f t="shared" si="18"/>
        <v>124666388.00000001</v>
      </c>
      <c r="AI22" s="31">
        <v>114600000</v>
      </c>
      <c r="AJ22" s="31">
        <v>114600000</v>
      </c>
      <c r="AK22" s="31">
        <v>115600000</v>
      </c>
      <c r="AL22" s="31">
        <f t="shared" si="11"/>
        <v>0</v>
      </c>
      <c r="AM22" s="31">
        <f t="shared" si="12"/>
        <v>1000000</v>
      </c>
    </row>
    <row r="23" spans="1:39" s="40" customFormat="1" ht="12.75" customHeight="1">
      <c r="A23" s="39" t="s">
        <v>70</v>
      </c>
      <c r="C23" s="40" t="s">
        <v>71</v>
      </c>
      <c r="D23" s="31"/>
      <c r="E23" s="31"/>
      <c r="F23" s="31"/>
      <c r="G23" s="31">
        <v>9287403</v>
      </c>
      <c r="H23" s="31">
        <v>8200000</v>
      </c>
      <c r="I23" s="31">
        <v>9000000</v>
      </c>
      <c r="J23" s="31">
        <v>10736090</v>
      </c>
      <c r="K23" s="31">
        <f>9600000</f>
        <v>9600000</v>
      </c>
      <c r="L23" s="41">
        <f t="shared" si="3"/>
        <v>89.41802835110362</v>
      </c>
      <c r="M23" s="31">
        <f>9600000</f>
        <v>9600000</v>
      </c>
      <c r="N23" s="42">
        <f t="shared" si="4"/>
        <v>0.0007087859098997141</v>
      </c>
      <c r="O23" s="31">
        <f>9600000</f>
        <v>9600000</v>
      </c>
      <c r="P23" s="31"/>
      <c r="Q23" s="41">
        <f t="shared" si="5"/>
        <v>89.41802835110362</v>
      </c>
      <c r="R23" s="41">
        <f t="shared" si="6"/>
        <v>100</v>
      </c>
      <c r="S23" s="31">
        <v>10500000</v>
      </c>
      <c r="T23" s="42">
        <f t="shared" si="7"/>
        <v>0.000722595366837564</v>
      </c>
      <c r="U23" s="41">
        <f t="shared" si="8"/>
        <v>109.375</v>
      </c>
      <c r="V23" s="41">
        <f t="shared" si="9"/>
        <v>109.375</v>
      </c>
      <c r="W23" s="31">
        <v>11300000</v>
      </c>
      <c r="X23" s="41">
        <f t="shared" si="10"/>
        <v>107.61904761904762</v>
      </c>
      <c r="Y23" s="31"/>
      <c r="Z23" s="41"/>
      <c r="AA23" s="31"/>
      <c r="AB23" s="41"/>
      <c r="AC23" s="31"/>
      <c r="AD23" s="31"/>
      <c r="AE23" s="31">
        <f t="shared" si="15"/>
        <v>10147200</v>
      </c>
      <c r="AF23" s="31">
        <f t="shared" si="16"/>
        <v>10603824</v>
      </c>
      <c r="AG23" s="31">
        <f t="shared" si="17"/>
        <v>10473600</v>
      </c>
      <c r="AH23" s="31">
        <f t="shared" si="18"/>
        <v>11290540.8</v>
      </c>
      <c r="AI23" s="31">
        <v>10400000</v>
      </c>
      <c r="AJ23" s="31">
        <v>10400000</v>
      </c>
      <c r="AK23" s="31">
        <v>10500000</v>
      </c>
      <c r="AL23" s="31">
        <f t="shared" si="11"/>
        <v>0</v>
      </c>
      <c r="AM23" s="31">
        <f t="shared" si="12"/>
        <v>100000</v>
      </c>
    </row>
    <row r="24" spans="1:39" s="40" customFormat="1" ht="12.75" customHeight="1">
      <c r="A24" s="39" t="s">
        <v>72</v>
      </c>
      <c r="C24" s="40" t="s">
        <v>73</v>
      </c>
      <c r="D24" s="31">
        <v>4000000</v>
      </c>
      <c r="E24" s="31">
        <v>2218375</v>
      </c>
      <c r="F24" s="31">
        <v>3000000</v>
      </c>
      <c r="G24" s="31">
        <v>1001884</v>
      </c>
      <c r="H24" s="31">
        <v>1000000</v>
      </c>
      <c r="I24" s="31">
        <v>1050000</v>
      </c>
      <c r="J24" s="31">
        <v>990855</v>
      </c>
      <c r="K24" s="31">
        <v>1100000</v>
      </c>
      <c r="L24" s="41">
        <f t="shared" si="3"/>
        <v>111.01523431783662</v>
      </c>
      <c r="M24" s="31">
        <v>1100000</v>
      </c>
      <c r="N24" s="42">
        <f t="shared" si="4"/>
        <v>8.121505217600892E-05</v>
      </c>
      <c r="O24" s="31">
        <v>1100000</v>
      </c>
      <c r="P24" s="31"/>
      <c r="Q24" s="41">
        <f t="shared" si="5"/>
        <v>111.01523431783662</v>
      </c>
      <c r="R24" s="41">
        <f t="shared" si="6"/>
        <v>100</v>
      </c>
      <c r="S24" s="31">
        <v>1200000</v>
      </c>
      <c r="T24" s="42">
        <f t="shared" si="7"/>
        <v>8.258232763857875E-05</v>
      </c>
      <c r="U24" s="41">
        <f t="shared" si="8"/>
        <v>109.09090909090908</v>
      </c>
      <c r="V24" s="41">
        <f t="shared" si="9"/>
        <v>109.09090909090908</v>
      </c>
      <c r="W24" s="31">
        <v>1300000</v>
      </c>
      <c r="X24" s="41">
        <f t="shared" si="10"/>
        <v>108.33333333333333</v>
      </c>
      <c r="Y24" s="31"/>
      <c r="Z24" s="41"/>
      <c r="AA24" s="31"/>
      <c r="AB24" s="41"/>
      <c r="AC24" s="31"/>
      <c r="AD24" s="31"/>
      <c r="AE24" s="31">
        <f t="shared" si="15"/>
        <v>1162700</v>
      </c>
      <c r="AF24" s="31">
        <f t="shared" si="16"/>
        <v>1215021.5</v>
      </c>
      <c r="AG24" s="31">
        <f t="shared" si="17"/>
        <v>1200100</v>
      </c>
      <c r="AH24" s="31">
        <f t="shared" si="18"/>
        <v>1293707.8</v>
      </c>
      <c r="AI24" s="31">
        <v>1200000</v>
      </c>
      <c r="AJ24" s="31">
        <v>1200000</v>
      </c>
      <c r="AK24" s="31">
        <v>1200000</v>
      </c>
      <c r="AL24" s="31">
        <f t="shared" si="11"/>
        <v>0</v>
      </c>
      <c r="AM24" s="31">
        <f t="shared" si="12"/>
        <v>0</v>
      </c>
    </row>
    <row r="25" spans="1:39" s="40" customFormat="1" ht="12.75" customHeight="1">
      <c r="A25" s="39" t="s">
        <v>74</v>
      </c>
      <c r="C25" s="40" t="s">
        <v>75</v>
      </c>
      <c r="D25" s="31"/>
      <c r="E25" s="31"/>
      <c r="F25" s="31"/>
      <c r="G25" s="31">
        <v>706334</v>
      </c>
      <c r="H25" s="31">
        <v>900000</v>
      </c>
      <c r="I25" s="31">
        <v>950000</v>
      </c>
      <c r="J25" s="31">
        <v>815920</v>
      </c>
      <c r="K25" s="31">
        <v>1000000</v>
      </c>
      <c r="L25" s="41">
        <f t="shared" si="3"/>
        <v>122.56103539562702</v>
      </c>
      <c r="M25" s="31">
        <v>1000000</v>
      </c>
      <c r="N25" s="42">
        <f t="shared" si="4"/>
        <v>7.383186561455355E-05</v>
      </c>
      <c r="O25" s="31">
        <v>1000000</v>
      </c>
      <c r="P25" s="31"/>
      <c r="Q25" s="41">
        <f t="shared" si="5"/>
        <v>122.56103539562702</v>
      </c>
      <c r="R25" s="41">
        <f t="shared" si="6"/>
        <v>100</v>
      </c>
      <c r="S25" s="31">
        <v>1100000</v>
      </c>
      <c r="T25" s="42">
        <f t="shared" si="7"/>
        <v>7.570046700203052E-05</v>
      </c>
      <c r="U25" s="41">
        <f t="shared" si="8"/>
        <v>110.00000000000001</v>
      </c>
      <c r="V25" s="41">
        <f t="shared" si="9"/>
        <v>110.00000000000001</v>
      </c>
      <c r="W25" s="31">
        <v>1200000</v>
      </c>
      <c r="X25" s="41">
        <f t="shared" si="10"/>
        <v>109.09090909090908</v>
      </c>
      <c r="Y25" s="31"/>
      <c r="Z25" s="41"/>
      <c r="AA25" s="31"/>
      <c r="AB25" s="41"/>
      <c r="AC25" s="31"/>
      <c r="AD25" s="31"/>
      <c r="AE25" s="31">
        <f t="shared" si="15"/>
        <v>1057000</v>
      </c>
      <c r="AF25" s="31">
        <f t="shared" si="16"/>
        <v>1104565</v>
      </c>
      <c r="AG25" s="31">
        <f t="shared" si="17"/>
        <v>1091000</v>
      </c>
      <c r="AH25" s="31">
        <f t="shared" si="18"/>
        <v>1176098</v>
      </c>
      <c r="AI25" s="31">
        <v>1100000</v>
      </c>
      <c r="AJ25" s="31">
        <v>1100000</v>
      </c>
      <c r="AK25" s="31">
        <v>1100000</v>
      </c>
      <c r="AL25" s="31">
        <f t="shared" si="11"/>
        <v>0</v>
      </c>
      <c r="AM25" s="31">
        <f t="shared" si="12"/>
        <v>0</v>
      </c>
    </row>
    <row r="26" spans="1:39" s="40" customFormat="1" ht="12.75" customHeight="1">
      <c r="A26" s="39" t="s">
        <v>76</v>
      </c>
      <c r="C26" s="40" t="s">
        <v>77</v>
      </c>
      <c r="D26" s="31">
        <v>150000000</v>
      </c>
      <c r="E26" s="31">
        <v>146438262</v>
      </c>
      <c r="F26" s="31">
        <v>165000000</v>
      </c>
      <c r="G26" s="31">
        <v>157916691</v>
      </c>
      <c r="H26" s="31">
        <v>180000000</v>
      </c>
      <c r="I26" s="31">
        <v>173600000</v>
      </c>
      <c r="J26" s="31">
        <v>176827501</v>
      </c>
      <c r="K26" s="31">
        <f>185000000+10000000</f>
        <v>195000000</v>
      </c>
      <c r="L26" s="41">
        <f t="shared" si="3"/>
        <v>110.27696421497242</v>
      </c>
      <c r="M26" s="31">
        <f>185000000+10000000</f>
        <v>195000000</v>
      </c>
      <c r="N26" s="42">
        <f t="shared" si="4"/>
        <v>0.014397213794837943</v>
      </c>
      <c r="O26" s="31">
        <f>185000000+10000000</f>
        <v>195000000</v>
      </c>
      <c r="P26" s="31"/>
      <c r="Q26" s="41">
        <f t="shared" si="5"/>
        <v>110.27696421497242</v>
      </c>
      <c r="R26" s="41">
        <f t="shared" si="6"/>
        <v>100</v>
      </c>
      <c r="S26" s="31">
        <v>212700000</v>
      </c>
      <c r="T26" s="42">
        <f t="shared" si="7"/>
        <v>0.014637717573938083</v>
      </c>
      <c r="U26" s="41">
        <f t="shared" si="8"/>
        <v>109.07692307692307</v>
      </c>
      <c r="V26" s="41">
        <f t="shared" si="9"/>
        <v>109.07692307692307</v>
      </c>
      <c r="W26" s="31">
        <v>229000000</v>
      </c>
      <c r="X26" s="41">
        <f t="shared" si="10"/>
        <v>107.6633756464504</v>
      </c>
      <c r="Y26" s="31"/>
      <c r="Z26" s="41"/>
      <c r="AA26" s="31"/>
      <c r="AB26" s="41"/>
      <c r="AC26" s="31"/>
      <c r="AD26" s="31"/>
      <c r="AE26" s="31">
        <f t="shared" si="15"/>
        <v>206115000</v>
      </c>
      <c r="AF26" s="31">
        <f t="shared" si="16"/>
        <v>215390175</v>
      </c>
      <c r="AG26" s="31">
        <f t="shared" si="17"/>
        <v>212745000</v>
      </c>
      <c r="AH26" s="31">
        <f t="shared" si="18"/>
        <v>229339110</v>
      </c>
      <c r="AI26" s="31">
        <v>210800000</v>
      </c>
      <c r="AJ26" s="31">
        <v>210800000</v>
      </c>
      <c r="AK26" s="31">
        <v>212700000</v>
      </c>
      <c r="AL26" s="31">
        <f t="shared" si="11"/>
        <v>0</v>
      </c>
      <c r="AM26" s="31">
        <f t="shared" si="12"/>
        <v>1900000</v>
      </c>
    </row>
    <row r="27" spans="1:39" s="40" customFormat="1" ht="12.75" customHeight="1">
      <c r="A27" s="39" t="s">
        <v>78</v>
      </c>
      <c r="C27" s="40" t="s">
        <v>79</v>
      </c>
      <c r="D27" s="31"/>
      <c r="E27" s="31"/>
      <c r="F27" s="31"/>
      <c r="G27" s="31">
        <v>8949744</v>
      </c>
      <c r="H27" s="31">
        <v>9100000</v>
      </c>
      <c r="I27" s="31">
        <v>9400000</v>
      </c>
      <c r="J27" s="31">
        <v>9659315</v>
      </c>
      <c r="K27" s="31">
        <v>10000000</v>
      </c>
      <c r="L27" s="41">
        <f t="shared" si="3"/>
        <v>103.52700993807531</v>
      </c>
      <c r="M27" s="31">
        <v>10000000</v>
      </c>
      <c r="N27" s="42">
        <f t="shared" si="4"/>
        <v>0.0007383186561455355</v>
      </c>
      <c r="O27" s="31">
        <v>10000000</v>
      </c>
      <c r="P27" s="31"/>
      <c r="Q27" s="41">
        <f t="shared" si="5"/>
        <v>103.52700993807531</v>
      </c>
      <c r="R27" s="41">
        <f t="shared" si="6"/>
        <v>100</v>
      </c>
      <c r="S27" s="31">
        <v>10900000</v>
      </c>
      <c r="T27" s="42">
        <f t="shared" si="7"/>
        <v>0.0007501228093837569</v>
      </c>
      <c r="U27" s="41">
        <f t="shared" si="8"/>
        <v>109.00000000000001</v>
      </c>
      <c r="V27" s="41">
        <f t="shared" si="9"/>
        <v>109.00000000000001</v>
      </c>
      <c r="W27" s="31">
        <v>11800000</v>
      </c>
      <c r="X27" s="41">
        <f t="shared" si="10"/>
        <v>108.25688073394495</v>
      </c>
      <c r="Y27" s="31"/>
      <c r="Z27" s="41"/>
      <c r="AA27" s="31"/>
      <c r="AB27" s="41"/>
      <c r="AC27" s="31"/>
      <c r="AD27" s="31"/>
      <c r="AE27" s="31">
        <f t="shared" si="15"/>
        <v>10570000</v>
      </c>
      <c r="AF27" s="31">
        <f t="shared" si="16"/>
        <v>11045650</v>
      </c>
      <c r="AG27" s="31">
        <f t="shared" si="17"/>
        <v>10910000</v>
      </c>
      <c r="AH27" s="31">
        <f t="shared" si="18"/>
        <v>11760980</v>
      </c>
      <c r="AI27" s="31">
        <v>11000000</v>
      </c>
      <c r="AJ27" s="31">
        <v>11000000</v>
      </c>
      <c r="AK27" s="31">
        <v>10900000</v>
      </c>
      <c r="AL27" s="31">
        <f t="shared" si="11"/>
        <v>0</v>
      </c>
      <c r="AM27" s="31">
        <f t="shared" si="12"/>
        <v>-100000</v>
      </c>
    </row>
    <row r="28" spans="1:39" s="40" customFormat="1" ht="12.75" customHeight="1">
      <c r="A28" s="39" t="s">
        <v>80</v>
      </c>
      <c r="C28" s="40" t="s">
        <v>81</v>
      </c>
      <c r="D28" s="31">
        <v>3000000</v>
      </c>
      <c r="E28" s="31">
        <v>1859917</v>
      </c>
      <c r="F28" s="31">
        <v>4000000</v>
      </c>
      <c r="G28" s="31">
        <v>2312091</v>
      </c>
      <c r="H28" s="31">
        <v>2000000</v>
      </c>
      <c r="I28" s="31">
        <v>2000000</v>
      </c>
      <c r="J28" s="31">
        <v>1661329</v>
      </c>
      <c r="K28" s="31">
        <v>2100000</v>
      </c>
      <c r="L28" s="41">
        <f t="shared" si="3"/>
        <v>126.40482408962946</v>
      </c>
      <c r="M28" s="31">
        <v>2100000</v>
      </c>
      <c r="N28" s="42">
        <f t="shared" si="4"/>
        <v>0.00015504691779056245</v>
      </c>
      <c r="O28" s="31">
        <v>2100000</v>
      </c>
      <c r="P28" s="31"/>
      <c r="Q28" s="41">
        <f t="shared" si="5"/>
        <v>126.40482408962946</v>
      </c>
      <c r="R28" s="41">
        <f t="shared" si="6"/>
        <v>100</v>
      </c>
      <c r="S28" s="31">
        <v>2300000</v>
      </c>
      <c r="T28" s="42">
        <f t="shared" si="7"/>
        <v>0.00015828279464060927</v>
      </c>
      <c r="U28" s="41">
        <f t="shared" si="8"/>
        <v>109.52380952380953</v>
      </c>
      <c r="V28" s="41">
        <f t="shared" si="9"/>
        <v>109.52380952380953</v>
      </c>
      <c r="W28" s="31">
        <v>2500000</v>
      </c>
      <c r="X28" s="41">
        <f t="shared" si="10"/>
        <v>108.69565217391303</v>
      </c>
      <c r="Y28" s="31"/>
      <c r="Z28" s="41"/>
      <c r="AA28" s="31"/>
      <c r="AB28" s="41"/>
      <c r="AC28" s="31"/>
      <c r="AD28" s="31"/>
      <c r="AE28" s="31">
        <f t="shared" si="15"/>
        <v>2219700</v>
      </c>
      <c r="AF28" s="31">
        <f t="shared" si="16"/>
        <v>2319586.5</v>
      </c>
      <c r="AG28" s="31">
        <f t="shared" si="17"/>
        <v>2291100</v>
      </c>
      <c r="AH28" s="31">
        <f t="shared" si="18"/>
        <v>2469805.8000000003</v>
      </c>
      <c r="AI28" s="31">
        <v>2300000</v>
      </c>
      <c r="AJ28" s="31">
        <v>2300000</v>
      </c>
      <c r="AK28" s="31">
        <v>2300000</v>
      </c>
      <c r="AL28" s="31">
        <f t="shared" si="11"/>
        <v>0</v>
      </c>
      <c r="AM28" s="31">
        <f t="shared" si="12"/>
        <v>0</v>
      </c>
    </row>
    <row r="29" spans="1:39" s="40" customFormat="1" ht="12.75" customHeight="1">
      <c r="A29" s="39" t="s">
        <v>82</v>
      </c>
      <c r="C29" s="40" t="s">
        <v>83</v>
      </c>
      <c r="D29" s="31"/>
      <c r="E29" s="31"/>
      <c r="F29" s="31"/>
      <c r="G29" s="31">
        <v>2787254</v>
      </c>
      <c r="H29" s="31">
        <v>3800000</v>
      </c>
      <c r="I29" s="31">
        <v>5000000</v>
      </c>
      <c r="J29" s="31">
        <v>4252217</v>
      </c>
      <c r="K29" s="31">
        <v>5300000</v>
      </c>
      <c r="L29" s="41">
        <f t="shared" si="3"/>
        <v>124.64086381292394</v>
      </c>
      <c r="M29" s="31">
        <v>5300000</v>
      </c>
      <c r="N29" s="42">
        <f t="shared" si="4"/>
        <v>0.00039130888775713385</v>
      </c>
      <c r="O29" s="31">
        <v>5300000</v>
      </c>
      <c r="P29" s="31"/>
      <c r="Q29" s="41">
        <f t="shared" si="5"/>
        <v>124.64086381292394</v>
      </c>
      <c r="R29" s="41">
        <f t="shared" si="6"/>
        <v>100</v>
      </c>
      <c r="S29" s="31">
        <v>5700000</v>
      </c>
      <c r="T29" s="42">
        <f t="shared" si="7"/>
        <v>0.00039226605628324906</v>
      </c>
      <c r="U29" s="41">
        <f t="shared" si="8"/>
        <v>107.54716981132076</v>
      </c>
      <c r="V29" s="41">
        <f t="shared" si="9"/>
        <v>107.54716981132076</v>
      </c>
      <c r="W29" s="31">
        <v>6200000</v>
      </c>
      <c r="X29" s="41">
        <f t="shared" si="10"/>
        <v>108.77192982456141</v>
      </c>
      <c r="Y29" s="31"/>
      <c r="Z29" s="41"/>
      <c r="AA29" s="31"/>
      <c r="AB29" s="41"/>
      <c r="AC29" s="31"/>
      <c r="AD29" s="31"/>
      <c r="AE29" s="31">
        <f t="shared" si="15"/>
        <v>5602100</v>
      </c>
      <c r="AF29" s="31">
        <f t="shared" si="16"/>
        <v>5854194.5</v>
      </c>
      <c r="AG29" s="31">
        <f t="shared" si="17"/>
        <v>5782300</v>
      </c>
      <c r="AH29" s="31">
        <f t="shared" si="18"/>
        <v>6233319.4</v>
      </c>
      <c r="AI29" s="31">
        <v>5800000</v>
      </c>
      <c r="AJ29" s="31">
        <v>5800000</v>
      </c>
      <c r="AK29" s="31">
        <v>5700000</v>
      </c>
      <c r="AL29" s="31">
        <f t="shared" si="11"/>
        <v>0</v>
      </c>
      <c r="AM29" s="31">
        <f t="shared" si="12"/>
        <v>-100000</v>
      </c>
    </row>
    <row r="30" spans="1:39" s="40" customFormat="1" ht="12.75" customHeight="1">
      <c r="A30" s="39" t="s">
        <v>84</v>
      </c>
      <c r="C30" s="40" t="s">
        <v>85</v>
      </c>
      <c r="D30" s="31">
        <v>85000000</v>
      </c>
      <c r="E30" s="31">
        <v>101364709</v>
      </c>
      <c r="F30" s="31">
        <v>106000000</v>
      </c>
      <c r="G30" s="31">
        <v>73919597</v>
      </c>
      <c r="H30" s="31">
        <v>71800000</v>
      </c>
      <c r="I30" s="31">
        <v>78000000</v>
      </c>
      <c r="J30" s="31">
        <v>71867202</v>
      </c>
      <c r="K30" s="31">
        <v>83000000</v>
      </c>
      <c r="L30" s="41">
        <f t="shared" si="3"/>
        <v>115.49079091739233</v>
      </c>
      <c r="M30" s="31">
        <v>83000000</v>
      </c>
      <c r="N30" s="42">
        <f t="shared" si="4"/>
        <v>0.006128044846007945</v>
      </c>
      <c r="O30" s="31">
        <v>83000000</v>
      </c>
      <c r="P30" s="31"/>
      <c r="Q30" s="41">
        <f t="shared" si="5"/>
        <v>115.49079091739233</v>
      </c>
      <c r="R30" s="41">
        <f t="shared" si="6"/>
        <v>100</v>
      </c>
      <c r="S30" s="31">
        <v>90500000</v>
      </c>
      <c r="T30" s="42">
        <f t="shared" si="7"/>
        <v>0.006228083876076147</v>
      </c>
      <c r="U30" s="41">
        <f t="shared" si="8"/>
        <v>109.03614457831326</v>
      </c>
      <c r="V30" s="41">
        <f t="shared" si="9"/>
        <v>109.03614457831326</v>
      </c>
      <c r="W30" s="31">
        <v>97600000</v>
      </c>
      <c r="X30" s="41">
        <f t="shared" si="10"/>
        <v>107.84530386740332</v>
      </c>
      <c r="Y30" s="31"/>
      <c r="Z30" s="41"/>
      <c r="AA30" s="31"/>
      <c r="AB30" s="41"/>
      <c r="AC30" s="31"/>
      <c r="AD30" s="31"/>
      <c r="AE30" s="31">
        <f t="shared" si="15"/>
        <v>87731000</v>
      </c>
      <c r="AF30" s="31">
        <f t="shared" si="16"/>
        <v>91678895</v>
      </c>
      <c r="AG30" s="31">
        <f t="shared" si="17"/>
        <v>90553000</v>
      </c>
      <c r="AH30" s="31">
        <f t="shared" si="18"/>
        <v>97616134</v>
      </c>
      <c r="AI30" s="31">
        <v>89700000</v>
      </c>
      <c r="AJ30" s="31">
        <v>89700000</v>
      </c>
      <c r="AK30" s="31">
        <v>90500000</v>
      </c>
      <c r="AL30" s="31">
        <f t="shared" si="11"/>
        <v>0</v>
      </c>
      <c r="AM30" s="31">
        <f t="shared" si="12"/>
        <v>800000</v>
      </c>
    </row>
    <row r="31" spans="1:39" s="40" customFormat="1" ht="12.75" customHeight="1">
      <c r="A31" s="39" t="s">
        <v>86</v>
      </c>
      <c r="C31" s="40" t="s">
        <v>87</v>
      </c>
      <c r="D31" s="31"/>
      <c r="E31" s="31"/>
      <c r="F31" s="31"/>
      <c r="G31" s="31">
        <v>1852980</v>
      </c>
      <c r="H31" s="31">
        <v>3000000</v>
      </c>
      <c r="I31" s="31">
        <v>3000000</v>
      </c>
      <c r="J31" s="31">
        <v>2033988</v>
      </c>
      <c r="K31" s="31">
        <v>3200000</v>
      </c>
      <c r="L31" s="41">
        <f t="shared" si="3"/>
        <v>157.32639523930328</v>
      </c>
      <c r="M31" s="31">
        <v>3200000</v>
      </c>
      <c r="N31" s="42">
        <f t="shared" si="4"/>
        <v>0.00023626196996657137</v>
      </c>
      <c r="O31" s="31">
        <v>3200000</v>
      </c>
      <c r="P31" s="31"/>
      <c r="Q31" s="41">
        <f t="shared" si="5"/>
        <v>157.32639523930328</v>
      </c>
      <c r="R31" s="41">
        <f t="shared" si="6"/>
        <v>100</v>
      </c>
      <c r="S31" s="31">
        <v>3400000</v>
      </c>
      <c r="T31" s="42">
        <f t="shared" si="7"/>
        <v>0.0002339832616426398</v>
      </c>
      <c r="U31" s="41">
        <f t="shared" si="8"/>
        <v>106.25</v>
      </c>
      <c r="V31" s="41">
        <f t="shared" si="9"/>
        <v>106.25</v>
      </c>
      <c r="W31" s="31">
        <v>3700000</v>
      </c>
      <c r="X31" s="41">
        <f t="shared" si="10"/>
        <v>108.8235294117647</v>
      </c>
      <c r="Y31" s="31"/>
      <c r="Z31" s="41"/>
      <c r="AA31" s="31"/>
      <c r="AB31" s="41"/>
      <c r="AC31" s="31"/>
      <c r="AD31" s="31"/>
      <c r="AE31" s="31">
        <f t="shared" si="15"/>
        <v>3382400</v>
      </c>
      <c r="AF31" s="31">
        <f t="shared" si="16"/>
        <v>3534607.9999999995</v>
      </c>
      <c r="AG31" s="31">
        <f t="shared" si="17"/>
        <v>3491200</v>
      </c>
      <c r="AH31" s="31">
        <f t="shared" si="18"/>
        <v>3763513.6</v>
      </c>
      <c r="AI31" s="31">
        <v>3200000</v>
      </c>
      <c r="AJ31" s="31">
        <v>3200000</v>
      </c>
      <c r="AK31" s="31">
        <v>3400000</v>
      </c>
      <c r="AL31" s="31">
        <f t="shared" si="11"/>
        <v>0</v>
      </c>
      <c r="AM31" s="31">
        <f t="shared" si="12"/>
        <v>200000</v>
      </c>
    </row>
    <row r="32" spans="1:39" s="40" customFormat="1" ht="12.75" customHeight="1">
      <c r="A32" s="39" t="s">
        <v>88</v>
      </c>
      <c r="C32" s="40" t="s">
        <v>89</v>
      </c>
      <c r="D32" s="31"/>
      <c r="E32" s="31"/>
      <c r="F32" s="31"/>
      <c r="G32" s="31">
        <v>31524526</v>
      </c>
      <c r="H32" s="31">
        <v>46300000</v>
      </c>
      <c r="I32" s="31">
        <v>44000000</v>
      </c>
      <c r="J32" s="31">
        <v>38861984</v>
      </c>
      <c r="K32" s="31">
        <v>46000000</v>
      </c>
      <c r="L32" s="41">
        <f t="shared" si="3"/>
        <v>118.36760573006258</v>
      </c>
      <c r="M32" s="31">
        <v>46000000</v>
      </c>
      <c r="N32" s="42">
        <f t="shared" si="4"/>
        <v>0.0033962658182694633</v>
      </c>
      <c r="O32" s="31">
        <v>46000000</v>
      </c>
      <c r="P32" s="31"/>
      <c r="Q32" s="41">
        <f t="shared" si="5"/>
        <v>118.36760573006258</v>
      </c>
      <c r="R32" s="41">
        <f t="shared" si="6"/>
        <v>100</v>
      </c>
      <c r="S32" s="31">
        <v>50200000</v>
      </c>
      <c r="T32" s="42">
        <f t="shared" si="7"/>
        <v>0.003454694039547211</v>
      </c>
      <c r="U32" s="41">
        <f t="shared" si="8"/>
        <v>109.13043478260869</v>
      </c>
      <c r="V32" s="41">
        <f t="shared" si="9"/>
        <v>109.13043478260869</v>
      </c>
      <c r="W32" s="31">
        <v>54000000</v>
      </c>
      <c r="X32" s="41">
        <f t="shared" si="10"/>
        <v>107.56972111553785</v>
      </c>
      <c r="Y32" s="31"/>
      <c r="Z32" s="41"/>
      <c r="AA32" s="31"/>
      <c r="AB32" s="41"/>
      <c r="AC32" s="31"/>
      <c r="AD32" s="31"/>
      <c r="AE32" s="31">
        <f t="shared" si="15"/>
        <v>48622000</v>
      </c>
      <c r="AF32" s="31">
        <f t="shared" si="16"/>
        <v>50809990</v>
      </c>
      <c r="AG32" s="31">
        <f t="shared" si="17"/>
        <v>50186000</v>
      </c>
      <c r="AH32" s="31">
        <f t="shared" si="18"/>
        <v>54100508</v>
      </c>
      <c r="AI32" s="31">
        <v>49800000</v>
      </c>
      <c r="AJ32" s="31">
        <v>49800000</v>
      </c>
      <c r="AK32" s="31">
        <v>50200000</v>
      </c>
      <c r="AL32" s="31">
        <f t="shared" si="11"/>
        <v>0</v>
      </c>
      <c r="AM32" s="31">
        <f t="shared" si="12"/>
        <v>400000</v>
      </c>
    </row>
    <row r="33" spans="1:39" s="40" customFormat="1" ht="12.75" customHeight="1">
      <c r="A33" s="39"/>
      <c r="C33" s="40" t="s">
        <v>90</v>
      </c>
      <c r="D33" s="31"/>
      <c r="E33" s="31"/>
      <c r="F33" s="31"/>
      <c r="G33" s="31"/>
      <c r="H33" s="31"/>
      <c r="I33" s="31"/>
      <c r="J33" s="31"/>
      <c r="K33" s="31"/>
      <c r="L33" s="41"/>
      <c r="M33" s="31"/>
      <c r="N33" s="42">
        <f t="shared" si="4"/>
        <v>0</v>
      </c>
      <c r="O33" s="31"/>
      <c r="P33" s="31"/>
      <c r="Q33" s="41"/>
      <c r="R33" s="41"/>
      <c r="S33" s="31"/>
      <c r="T33" s="42">
        <f t="shared" si="7"/>
        <v>0</v>
      </c>
      <c r="U33" s="41"/>
      <c r="V33" s="41"/>
      <c r="W33" s="31"/>
      <c r="X33" s="41"/>
      <c r="Y33" s="31"/>
      <c r="Z33" s="41"/>
      <c r="AA33" s="31"/>
      <c r="AB33" s="41"/>
      <c r="AC33" s="31"/>
      <c r="AD33" s="31"/>
      <c r="AE33" s="31">
        <f t="shared" si="15"/>
        <v>0</v>
      </c>
      <c r="AF33" s="31">
        <f t="shared" si="16"/>
        <v>0</v>
      </c>
      <c r="AG33" s="31">
        <f t="shared" si="17"/>
        <v>0</v>
      </c>
      <c r="AH33" s="31">
        <f t="shared" si="18"/>
        <v>0</v>
      </c>
      <c r="AI33" s="31"/>
      <c r="AJ33" s="31"/>
      <c r="AK33" s="31"/>
      <c r="AL33" s="31"/>
      <c r="AM33" s="31"/>
    </row>
    <row r="34" spans="1:39" s="40" customFormat="1" ht="12.75" customHeight="1">
      <c r="A34" s="39" t="s">
        <v>91</v>
      </c>
      <c r="C34" s="40" t="s">
        <v>92</v>
      </c>
      <c r="D34" s="31">
        <v>87000000</v>
      </c>
      <c r="E34" s="31">
        <v>88397638</v>
      </c>
      <c r="F34" s="31">
        <v>96000000</v>
      </c>
      <c r="G34" s="31">
        <v>94969914</v>
      </c>
      <c r="H34" s="31">
        <v>107700000</v>
      </c>
      <c r="I34" s="31">
        <v>112900000</v>
      </c>
      <c r="J34" s="31">
        <v>108548787</v>
      </c>
      <c r="K34" s="31">
        <v>120000000</v>
      </c>
      <c r="L34" s="41">
        <f>K34/J34*100</f>
        <v>110.54936984233643</v>
      </c>
      <c r="M34" s="31">
        <v>120000000</v>
      </c>
      <c r="N34" s="42">
        <f t="shared" si="4"/>
        <v>0.008859823873746427</v>
      </c>
      <c r="O34" s="31">
        <v>120000000</v>
      </c>
      <c r="P34" s="31"/>
      <c r="Q34" s="41">
        <f>O34/J34*100</f>
        <v>110.54936984233643</v>
      </c>
      <c r="R34" s="41">
        <f>O34/M34*100</f>
        <v>100</v>
      </c>
      <c r="S34" s="31">
        <v>130900000</v>
      </c>
      <c r="T34" s="42">
        <f t="shared" si="7"/>
        <v>0.009008355573241632</v>
      </c>
      <c r="U34" s="41">
        <f>S34/M34*100</f>
        <v>109.08333333333333</v>
      </c>
      <c r="V34" s="41">
        <f>S34/O34*100</f>
        <v>109.08333333333333</v>
      </c>
      <c r="W34" s="31">
        <v>141000000</v>
      </c>
      <c r="X34" s="41">
        <f>W34/S34*100</f>
        <v>107.71581359816653</v>
      </c>
      <c r="Y34" s="31"/>
      <c r="Z34" s="41"/>
      <c r="AA34" s="31"/>
      <c r="AB34" s="41"/>
      <c r="AC34" s="31"/>
      <c r="AD34" s="31"/>
      <c r="AE34" s="31">
        <f t="shared" si="15"/>
        <v>126840000</v>
      </c>
      <c r="AF34" s="31">
        <f t="shared" si="16"/>
        <v>132547799.99999999</v>
      </c>
      <c r="AG34" s="31">
        <f t="shared" si="17"/>
        <v>130920000</v>
      </c>
      <c r="AH34" s="31">
        <f t="shared" si="18"/>
        <v>141131760</v>
      </c>
      <c r="AI34" s="31">
        <v>130000000</v>
      </c>
      <c r="AJ34" s="31">
        <v>130000000</v>
      </c>
      <c r="AK34" s="31">
        <v>130900000</v>
      </c>
      <c r="AL34" s="31">
        <f>AJ34-AI34</f>
        <v>0</v>
      </c>
      <c r="AM34" s="31">
        <f>AK34-AJ34</f>
        <v>900000</v>
      </c>
    </row>
    <row r="35" spans="1:39" s="40" customFormat="1" ht="12.75" customHeight="1">
      <c r="A35" s="39" t="s">
        <v>93</v>
      </c>
      <c r="C35" s="40" t="s">
        <v>94</v>
      </c>
      <c r="D35" s="31"/>
      <c r="E35" s="31"/>
      <c r="F35" s="31"/>
      <c r="G35" s="31">
        <v>2321289</v>
      </c>
      <c r="H35" s="31">
        <v>2100000</v>
      </c>
      <c r="I35" s="31">
        <v>2100000</v>
      </c>
      <c r="J35" s="31">
        <v>1998846</v>
      </c>
      <c r="K35" s="31">
        <v>2200000</v>
      </c>
      <c r="L35" s="41">
        <f>K35/J35*100</f>
        <v>110.0635066433332</v>
      </c>
      <c r="M35" s="31">
        <v>2200000</v>
      </c>
      <c r="N35" s="42">
        <f t="shared" si="4"/>
        <v>0.00016243010435201783</v>
      </c>
      <c r="O35" s="31">
        <v>2200000</v>
      </c>
      <c r="P35" s="31"/>
      <c r="Q35" s="41">
        <f>O35/J35*100</f>
        <v>110.0635066433332</v>
      </c>
      <c r="R35" s="41">
        <f>O35/M35*100</f>
        <v>100</v>
      </c>
      <c r="S35" s="31">
        <v>2400000</v>
      </c>
      <c r="T35" s="42">
        <f t="shared" si="7"/>
        <v>0.0001651646552771575</v>
      </c>
      <c r="U35" s="41">
        <f>S35/M35*100</f>
        <v>109.09090909090908</v>
      </c>
      <c r="V35" s="41">
        <f>S35/O35*100</f>
        <v>109.09090909090908</v>
      </c>
      <c r="W35" s="31">
        <v>2600000</v>
      </c>
      <c r="X35" s="41">
        <f>W35/S35*100</f>
        <v>108.33333333333333</v>
      </c>
      <c r="Y35" s="31"/>
      <c r="Z35" s="41"/>
      <c r="AA35" s="31"/>
      <c r="AB35" s="41"/>
      <c r="AC35" s="31"/>
      <c r="AD35" s="31"/>
      <c r="AE35" s="31">
        <f t="shared" si="15"/>
        <v>2325400</v>
      </c>
      <c r="AF35" s="31">
        <f t="shared" si="16"/>
        <v>2430043</v>
      </c>
      <c r="AG35" s="31">
        <f t="shared" si="17"/>
        <v>2400200</v>
      </c>
      <c r="AH35" s="31">
        <f t="shared" si="18"/>
        <v>2587415.6</v>
      </c>
      <c r="AI35" s="31">
        <v>2400000</v>
      </c>
      <c r="AJ35" s="31">
        <v>2400000</v>
      </c>
      <c r="AK35" s="31">
        <v>2400000</v>
      </c>
      <c r="AL35" s="31">
        <f>AJ35-AI35</f>
        <v>0</v>
      </c>
      <c r="AM35" s="31">
        <f>AK35-AJ35</f>
        <v>0</v>
      </c>
    </row>
    <row r="36" spans="1:39" s="40" customFormat="1" ht="12.75" customHeight="1">
      <c r="A36" s="39"/>
      <c r="C36" s="40" t="s">
        <v>95</v>
      </c>
      <c r="D36" s="31"/>
      <c r="E36" s="31"/>
      <c r="F36" s="31"/>
      <c r="G36" s="31"/>
      <c r="H36" s="31"/>
      <c r="I36" s="31"/>
      <c r="J36" s="31"/>
      <c r="K36" s="31"/>
      <c r="L36" s="41"/>
      <c r="M36" s="31"/>
      <c r="N36" s="42">
        <f t="shared" si="4"/>
        <v>0</v>
      </c>
      <c r="O36" s="31"/>
      <c r="P36" s="31"/>
      <c r="Q36" s="41"/>
      <c r="R36" s="41"/>
      <c r="S36" s="31"/>
      <c r="T36" s="42">
        <f t="shared" si="7"/>
        <v>0</v>
      </c>
      <c r="U36" s="41"/>
      <c r="V36" s="41"/>
      <c r="W36" s="31"/>
      <c r="X36" s="41"/>
      <c r="Y36" s="31"/>
      <c r="Z36" s="41"/>
      <c r="AA36" s="31"/>
      <c r="AB36" s="41"/>
      <c r="AC36" s="31"/>
      <c r="AD36" s="31"/>
      <c r="AE36" s="31">
        <f t="shared" si="15"/>
        <v>0</v>
      </c>
      <c r="AF36" s="31">
        <f t="shared" si="16"/>
        <v>0</v>
      </c>
      <c r="AG36" s="31">
        <f t="shared" si="17"/>
        <v>0</v>
      </c>
      <c r="AH36" s="31">
        <f t="shared" si="18"/>
        <v>0</v>
      </c>
      <c r="AI36" s="31"/>
      <c r="AJ36" s="31"/>
      <c r="AK36" s="31"/>
      <c r="AL36" s="31"/>
      <c r="AM36" s="31"/>
    </row>
    <row r="37" spans="1:39" s="40" customFormat="1" ht="12.75" customHeight="1">
      <c r="A37" s="39" t="s">
        <v>96</v>
      </c>
      <c r="C37" s="40" t="s">
        <v>97</v>
      </c>
      <c r="D37" s="31">
        <v>34000000</v>
      </c>
      <c r="E37" s="31">
        <v>35637773</v>
      </c>
      <c r="F37" s="31">
        <v>35000000</v>
      </c>
      <c r="G37" s="31">
        <v>29200131</v>
      </c>
      <c r="H37" s="31">
        <v>34000000</v>
      </c>
      <c r="I37" s="31">
        <v>23000000</v>
      </c>
      <c r="J37" s="31">
        <v>24522127</v>
      </c>
      <c r="K37" s="31">
        <v>24500000</v>
      </c>
      <c r="L37" s="41">
        <f>K37/J37*100</f>
        <v>99.90976720738784</v>
      </c>
      <c r="M37" s="31">
        <v>24500000</v>
      </c>
      <c r="N37" s="42">
        <f t="shared" si="4"/>
        <v>0.001808880707556562</v>
      </c>
      <c r="O37" s="31">
        <v>24500000</v>
      </c>
      <c r="P37" s="31"/>
      <c r="Q37" s="41">
        <f>O37/J37*100</f>
        <v>99.90976720738784</v>
      </c>
      <c r="R37" s="41">
        <f>O37/M37*100</f>
        <v>100</v>
      </c>
      <c r="S37" s="31">
        <v>26700000</v>
      </c>
      <c r="T37" s="42">
        <f t="shared" si="7"/>
        <v>0.001837456789958377</v>
      </c>
      <c r="U37" s="41">
        <f>S37/M37*100</f>
        <v>108.97959183673468</v>
      </c>
      <c r="V37" s="41">
        <f>S37/O37*100</f>
        <v>108.97959183673468</v>
      </c>
      <c r="W37" s="31">
        <v>28800000</v>
      </c>
      <c r="X37" s="41">
        <f>W37/S37*100</f>
        <v>107.86516853932584</v>
      </c>
      <c r="Y37" s="31"/>
      <c r="Z37" s="41"/>
      <c r="AA37" s="31"/>
      <c r="AB37" s="41"/>
      <c r="AC37" s="31"/>
      <c r="AD37" s="31"/>
      <c r="AE37" s="31">
        <f t="shared" si="15"/>
        <v>25896500</v>
      </c>
      <c r="AF37" s="31">
        <f t="shared" si="16"/>
        <v>27061842.5</v>
      </c>
      <c r="AG37" s="31">
        <f t="shared" si="17"/>
        <v>26729500</v>
      </c>
      <c r="AH37" s="31">
        <f t="shared" si="18"/>
        <v>28814401</v>
      </c>
      <c r="AI37" s="31">
        <v>26500000</v>
      </c>
      <c r="AJ37" s="31">
        <v>26500000</v>
      </c>
      <c r="AK37" s="31">
        <v>26700000</v>
      </c>
      <c r="AL37" s="31">
        <f>AJ37-AI37</f>
        <v>0</v>
      </c>
      <c r="AM37" s="31">
        <f>AK37-AJ37</f>
        <v>200000</v>
      </c>
    </row>
    <row r="38" spans="1:39" ht="9" customHeight="1">
      <c r="A38" s="2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>
        <f t="shared" si="4"/>
        <v>0</v>
      </c>
      <c r="O38" s="25"/>
      <c r="P38" s="25"/>
      <c r="Q38" s="25"/>
      <c r="R38" s="25"/>
      <c r="S38" s="25"/>
      <c r="T38" s="26">
        <f t="shared" si="7"/>
        <v>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1">
        <f t="shared" si="15"/>
        <v>0</v>
      </c>
      <c r="AF38" s="31">
        <f aca="true" t="shared" si="19" ref="AF38:AF69">S38*1.045</f>
        <v>0</v>
      </c>
      <c r="AI38" s="25"/>
      <c r="AJ38" s="25"/>
      <c r="AK38" s="25"/>
      <c r="AL38" s="25"/>
      <c r="AM38" s="25"/>
    </row>
    <row r="39" spans="1:39" s="35" customFormat="1" ht="12.75">
      <c r="A39" s="34">
        <v>703</v>
      </c>
      <c r="C39" s="35" t="s">
        <v>98</v>
      </c>
      <c r="D39" s="36">
        <f aca="true" t="shared" si="20" ref="D39:K39">D40+D47+D50+D53</f>
        <v>1563000000</v>
      </c>
      <c r="E39" s="36">
        <f t="shared" si="20"/>
        <v>1663306924</v>
      </c>
      <c r="F39" s="36">
        <f t="shared" si="20"/>
        <v>2065000000</v>
      </c>
      <c r="G39" s="36">
        <f t="shared" si="20"/>
        <v>2112152528</v>
      </c>
      <c r="H39" s="36">
        <f t="shared" si="20"/>
        <v>1863000000</v>
      </c>
      <c r="I39" s="36">
        <f t="shared" si="20"/>
        <v>1919560000</v>
      </c>
      <c r="J39" s="36">
        <f t="shared" si="20"/>
        <v>2022252566</v>
      </c>
      <c r="K39" s="36">
        <f t="shared" si="20"/>
        <v>2012600000</v>
      </c>
      <c r="L39" s="37">
        <f>K39/J39*100</f>
        <v>99.52268246992053</v>
      </c>
      <c r="M39" s="36">
        <f>M40+M47+M50+M53</f>
        <v>2032600000</v>
      </c>
      <c r="N39" s="38">
        <f t="shared" si="4"/>
        <v>0.15007065004814155</v>
      </c>
      <c r="O39" s="36">
        <f>O40+O47+O50+O53</f>
        <v>2097100000</v>
      </c>
      <c r="P39" s="36"/>
      <c r="Q39" s="37">
        <f>O39/J39*100</f>
        <v>103.70119119927969</v>
      </c>
      <c r="R39" s="37">
        <f>O39/M39*100</f>
        <v>103.1732756075962</v>
      </c>
      <c r="S39" s="36">
        <f>S40+S47+S50+S53</f>
        <v>2703930000</v>
      </c>
      <c r="T39" s="38">
        <f t="shared" si="7"/>
        <v>0.18608069430981852</v>
      </c>
      <c r="U39" s="37">
        <f>S39/M39*100</f>
        <v>133.02814129686115</v>
      </c>
      <c r="V39" s="37">
        <f>S39/O39*100</f>
        <v>128.93662677030184</v>
      </c>
      <c r="W39" s="36">
        <f>W40+W47+W50+W53</f>
        <v>2514130000</v>
      </c>
      <c r="X39" s="37">
        <f>W39/S39*100</f>
        <v>92.98058751520935</v>
      </c>
      <c r="Y39" s="36">
        <f>Y40+Y47+Y50+Y53</f>
        <v>2598250000</v>
      </c>
      <c r="Z39" s="37">
        <f>Y39/W39*100</f>
        <v>103.34588903517322</v>
      </c>
      <c r="AA39" s="36">
        <f>AA40+AA47+AA50+AA53</f>
        <v>2673370000</v>
      </c>
      <c r="AB39" s="37">
        <f>AA39/Y39*100</f>
        <v>102.89117675358415</v>
      </c>
      <c r="AC39" s="31">
        <f aca="true" t="shared" si="21" ref="AC39:AC70">W39*1.035</f>
        <v>2602124550</v>
      </c>
      <c r="AD39" s="31">
        <f aca="true" t="shared" si="22" ref="AD39:AD70">Y39*1.029</f>
        <v>2673599250</v>
      </c>
      <c r="AE39" s="31">
        <f t="shared" si="15"/>
        <v>2148458200</v>
      </c>
      <c r="AF39" s="31">
        <f t="shared" si="19"/>
        <v>2825606850</v>
      </c>
      <c r="AI39" s="36">
        <f>AI40+AI47+AI50+AI53</f>
        <v>2757930000</v>
      </c>
      <c r="AJ39" s="36">
        <f>AJ40+AJ47+AJ50+AJ53</f>
        <v>2757930000</v>
      </c>
      <c r="AK39" s="36">
        <f>AK40+AK47+AK50+AK53</f>
        <v>2703930000</v>
      </c>
      <c r="AL39" s="36">
        <f aca="true" t="shared" si="23" ref="AL39:AM42">AJ39-AI39</f>
        <v>0</v>
      </c>
      <c r="AM39" s="36">
        <f t="shared" si="23"/>
        <v>-54000000</v>
      </c>
    </row>
    <row r="40" spans="1:39" s="35" customFormat="1" ht="12.75">
      <c r="A40" s="34">
        <v>7030</v>
      </c>
      <c r="C40" s="35" t="s">
        <v>99</v>
      </c>
      <c r="D40" s="36">
        <f>SUM(D41:D44)</f>
        <v>1220000000</v>
      </c>
      <c r="E40" s="36">
        <f>SUM(E41:E44)</f>
        <v>1230429769</v>
      </c>
      <c r="F40" s="36">
        <f>SUM(F41:F44)</f>
        <v>1480000000</v>
      </c>
      <c r="G40" s="36">
        <f>SUM(G41:G46)</f>
        <v>1562227804</v>
      </c>
      <c r="H40" s="36">
        <f>SUM(H41:H46)</f>
        <v>1353440000</v>
      </c>
      <c r="I40" s="36">
        <f>SUM(I41:I46)</f>
        <v>1345000000</v>
      </c>
      <c r="J40" s="36">
        <f>SUM(J41:J46)</f>
        <v>1459328752</v>
      </c>
      <c r="K40" s="36">
        <f>SUM(K41:K46)</f>
        <v>1402000000</v>
      </c>
      <c r="L40" s="37">
        <f>K40/J40*100</f>
        <v>96.07156701864255</v>
      </c>
      <c r="M40" s="36">
        <f>SUM(M41:M46)</f>
        <v>1421000000</v>
      </c>
      <c r="N40" s="38">
        <f t="shared" si="4"/>
        <v>0.1049150810382806</v>
      </c>
      <c r="O40" s="36">
        <f>SUM(O41:O46)</f>
        <v>1427000000</v>
      </c>
      <c r="P40" s="36"/>
      <c r="Q40" s="37">
        <f>O40/J40*100</f>
        <v>97.78468340627884</v>
      </c>
      <c r="R40" s="37">
        <f>O40/M40*100</f>
        <v>100.42223786066151</v>
      </c>
      <c r="S40" s="36">
        <f>SUM(S41:S46)</f>
        <v>2006600000</v>
      </c>
      <c r="T40" s="38">
        <f t="shared" si="7"/>
        <v>0.13809141553297677</v>
      </c>
      <c r="U40" s="37">
        <f>S40/M40*100</f>
        <v>141.21041520056298</v>
      </c>
      <c r="V40" s="37">
        <f>S40/O40*100</f>
        <v>140.61667834618078</v>
      </c>
      <c r="W40" s="36">
        <f>SUM(W41:W46)</f>
        <v>1791200000</v>
      </c>
      <c r="X40" s="37">
        <f>W40/S40*100</f>
        <v>89.26542410046845</v>
      </c>
      <c r="Y40" s="36">
        <f>SUM(Y41:Y46)</f>
        <v>1849800000</v>
      </c>
      <c r="Z40" s="37">
        <f>Y40/W40*100</f>
        <v>103.27154979901742</v>
      </c>
      <c r="AA40" s="36">
        <f>SUM(AA41:AA46)</f>
        <v>1901400000</v>
      </c>
      <c r="AB40" s="37">
        <f>AA40/Y40*100</f>
        <v>102.78949075575738</v>
      </c>
      <c r="AC40" s="31">
        <f t="shared" si="21"/>
        <v>1853891999.9999998</v>
      </c>
      <c r="AD40" s="31">
        <f t="shared" si="22"/>
        <v>1903444199.9999998</v>
      </c>
      <c r="AE40" s="31">
        <f t="shared" si="15"/>
        <v>1501997000</v>
      </c>
      <c r="AF40" s="31">
        <f t="shared" si="19"/>
        <v>2096896999.9999998</v>
      </c>
      <c r="AI40" s="36">
        <f>SUM(AI41:AI46)</f>
        <v>2060600000</v>
      </c>
      <c r="AJ40" s="36">
        <f>SUM(AJ41:AJ46)</f>
        <v>2060600000</v>
      </c>
      <c r="AK40" s="36">
        <f>SUM(AK41:AK46)</f>
        <v>2006600000</v>
      </c>
      <c r="AL40" s="36">
        <f t="shared" si="23"/>
        <v>0</v>
      </c>
      <c r="AM40" s="36">
        <f t="shared" si="23"/>
        <v>-54000000</v>
      </c>
    </row>
    <row r="41" spans="1:39" s="40" customFormat="1" ht="12.75" customHeight="1">
      <c r="A41" s="39" t="s">
        <v>100</v>
      </c>
      <c r="C41" s="40" t="s">
        <v>101</v>
      </c>
      <c r="D41" s="31">
        <v>20000000</v>
      </c>
      <c r="E41" s="31">
        <v>16605936</v>
      </c>
      <c r="F41" s="31">
        <v>20000000</v>
      </c>
      <c r="G41" s="31">
        <v>15536296</v>
      </c>
      <c r="H41" s="31">
        <v>11920000</v>
      </c>
      <c r="I41" s="31">
        <v>6000000</v>
      </c>
      <c r="J41" s="31">
        <v>9660100</v>
      </c>
      <c r="K41" s="31">
        <v>7000000</v>
      </c>
      <c r="L41" s="41">
        <f>K41/J41*100</f>
        <v>72.46301798118033</v>
      </c>
      <c r="M41" s="31">
        <v>7000000</v>
      </c>
      <c r="N41" s="42">
        <f t="shared" si="4"/>
        <v>0.0005168230593018748</v>
      </c>
      <c r="O41" s="31">
        <v>13000000</v>
      </c>
      <c r="P41" s="31"/>
      <c r="Q41" s="41">
        <f>O41/J41*100</f>
        <v>134.57417625076346</v>
      </c>
      <c r="R41" s="41">
        <f>O41/M41*100</f>
        <v>185.71428571428572</v>
      </c>
      <c r="S41" s="31">
        <v>13500000</v>
      </c>
      <c r="T41" s="42">
        <f t="shared" si="7"/>
        <v>0.0009290511859340109</v>
      </c>
      <c r="U41" s="41">
        <f>S41/M41*100</f>
        <v>192.85714285714286</v>
      </c>
      <c r="V41" s="41">
        <f>S41/O41*100</f>
        <v>103.84615384615385</v>
      </c>
      <c r="W41" s="31">
        <v>14000000</v>
      </c>
      <c r="X41" s="41">
        <f>W41/S41*100</f>
        <v>103.7037037037037</v>
      </c>
      <c r="Y41" s="31">
        <v>14500000</v>
      </c>
      <c r="Z41" s="41">
        <f>Y41/W41*100</f>
        <v>103.57142857142858</v>
      </c>
      <c r="AA41" s="31">
        <v>15000000</v>
      </c>
      <c r="AB41" s="41">
        <f>AA41/Y41*100</f>
        <v>103.44827586206897</v>
      </c>
      <c r="AC41" s="31">
        <f t="shared" si="21"/>
        <v>14489999.999999998</v>
      </c>
      <c r="AD41" s="31">
        <f t="shared" si="22"/>
        <v>14920499.999999998</v>
      </c>
      <c r="AE41" s="31">
        <f t="shared" si="15"/>
        <v>7399000</v>
      </c>
      <c r="AF41" s="31">
        <f t="shared" si="19"/>
        <v>14107499.999999998</v>
      </c>
      <c r="AI41" s="31">
        <v>13500000</v>
      </c>
      <c r="AJ41" s="31">
        <v>13500000</v>
      </c>
      <c r="AK41" s="31">
        <v>13500000</v>
      </c>
      <c r="AL41" s="31">
        <f t="shared" si="23"/>
        <v>0</v>
      </c>
      <c r="AM41" s="31">
        <f t="shared" si="23"/>
        <v>0</v>
      </c>
    </row>
    <row r="42" spans="1:39" s="40" customFormat="1" ht="12.75" customHeight="1">
      <c r="A42" s="39" t="s">
        <v>102</v>
      </c>
      <c r="C42" s="40" t="s">
        <v>103</v>
      </c>
      <c r="D42" s="31"/>
      <c r="E42" s="31"/>
      <c r="F42" s="31"/>
      <c r="G42" s="31">
        <v>0</v>
      </c>
      <c r="H42" s="31">
        <v>4520000</v>
      </c>
      <c r="I42" s="31">
        <v>2000000</v>
      </c>
      <c r="J42" s="31">
        <v>1973290</v>
      </c>
      <c r="K42" s="31">
        <v>2000000</v>
      </c>
      <c r="L42" s="41">
        <f>K42/J42*100</f>
        <v>101.35357702111702</v>
      </c>
      <c r="M42" s="31">
        <v>2000000</v>
      </c>
      <c r="N42" s="42">
        <f t="shared" si="4"/>
        <v>0.0001476637312291071</v>
      </c>
      <c r="O42" s="31">
        <v>2000000</v>
      </c>
      <c r="P42" s="31"/>
      <c r="Q42" s="41">
        <f>O42/J42*100</f>
        <v>101.35357702111702</v>
      </c>
      <c r="R42" s="41">
        <f>O42/M42*100</f>
        <v>100</v>
      </c>
      <c r="S42" s="31">
        <v>2100000</v>
      </c>
      <c r="T42" s="42">
        <f t="shared" si="7"/>
        <v>0.0001445190733675128</v>
      </c>
      <c r="U42" s="41">
        <f>S42/M42*100</f>
        <v>105</v>
      </c>
      <c r="V42" s="41">
        <f>S42/O42*100</f>
        <v>105</v>
      </c>
      <c r="W42" s="31">
        <v>2200000</v>
      </c>
      <c r="X42" s="41">
        <f>W42/S42*100</f>
        <v>104.76190476190477</v>
      </c>
      <c r="Y42" s="31">
        <v>2300000</v>
      </c>
      <c r="Z42" s="41">
        <f>Y42/W42*100</f>
        <v>104.54545454545455</v>
      </c>
      <c r="AA42" s="31">
        <v>2400000</v>
      </c>
      <c r="AB42" s="41">
        <f>AA42/Y42*100</f>
        <v>104.34782608695652</v>
      </c>
      <c r="AC42" s="31">
        <f t="shared" si="21"/>
        <v>2277000</v>
      </c>
      <c r="AD42" s="31">
        <f t="shared" si="22"/>
        <v>2366700</v>
      </c>
      <c r="AE42" s="31">
        <f t="shared" si="15"/>
        <v>2114000</v>
      </c>
      <c r="AF42" s="31">
        <f t="shared" si="19"/>
        <v>2194500</v>
      </c>
      <c r="AI42" s="31">
        <v>2100000</v>
      </c>
      <c r="AJ42" s="31">
        <v>2100000</v>
      </c>
      <c r="AK42" s="31">
        <v>2100000</v>
      </c>
      <c r="AL42" s="31">
        <f t="shared" si="23"/>
        <v>0</v>
      </c>
      <c r="AM42" s="31">
        <f t="shared" si="23"/>
        <v>0</v>
      </c>
    </row>
    <row r="43" spans="1:39" s="40" customFormat="1" ht="12.75" customHeight="1">
      <c r="A43" s="39" t="s">
        <v>104</v>
      </c>
      <c r="C43" s="40" t="s">
        <v>105</v>
      </c>
      <c r="D43" s="31"/>
      <c r="E43" s="31"/>
      <c r="F43" s="31"/>
      <c r="G43" s="31"/>
      <c r="H43" s="31">
        <v>1000000</v>
      </c>
      <c r="I43" s="31">
        <v>1000000</v>
      </c>
      <c r="J43" s="31"/>
      <c r="K43" s="31">
        <v>1000000</v>
      </c>
      <c r="L43" s="41"/>
      <c r="M43" s="31"/>
      <c r="N43" s="42">
        <f t="shared" si="4"/>
        <v>0</v>
      </c>
      <c r="O43" s="31"/>
      <c r="P43" s="31"/>
      <c r="Q43" s="41"/>
      <c r="R43" s="41"/>
      <c r="S43" s="31"/>
      <c r="T43" s="42">
        <f t="shared" si="7"/>
        <v>0</v>
      </c>
      <c r="U43" s="41"/>
      <c r="V43" s="41"/>
      <c r="W43" s="31"/>
      <c r="X43" s="41"/>
      <c r="Y43" s="31"/>
      <c r="Z43" s="41"/>
      <c r="AA43" s="31"/>
      <c r="AB43" s="41"/>
      <c r="AC43" s="31">
        <f t="shared" si="21"/>
        <v>0</v>
      </c>
      <c r="AD43" s="31">
        <f t="shared" si="22"/>
        <v>0</v>
      </c>
      <c r="AE43" s="31">
        <f t="shared" si="15"/>
        <v>0</v>
      </c>
      <c r="AF43" s="31">
        <f t="shared" si="19"/>
        <v>0</v>
      </c>
      <c r="AI43" s="31"/>
      <c r="AJ43" s="31"/>
      <c r="AK43" s="31"/>
      <c r="AL43" s="31"/>
      <c r="AM43" s="31"/>
    </row>
    <row r="44" spans="1:39" s="44" customFormat="1" ht="12.75" customHeight="1">
      <c r="A44" s="43" t="s">
        <v>106</v>
      </c>
      <c r="C44" s="44" t="s">
        <v>107</v>
      </c>
      <c r="D44" s="45">
        <v>1200000000</v>
      </c>
      <c r="E44" s="45">
        <v>1213823833</v>
      </c>
      <c r="F44" s="45">
        <v>1460000000</v>
      </c>
      <c r="G44" s="45">
        <v>1189655477</v>
      </c>
      <c r="H44" s="45">
        <v>1248000000</v>
      </c>
      <c r="I44" s="45">
        <v>1060000000</v>
      </c>
      <c r="J44" s="45">
        <v>1127309098</v>
      </c>
      <c r="K44" s="45">
        <v>1100000000</v>
      </c>
      <c r="L44" s="46">
        <f aca="true" t="shared" si="24" ref="L44:L56">K44/J44*100</f>
        <v>97.57749688630652</v>
      </c>
      <c r="M44" s="45">
        <f>1100000000-33000000</f>
        <v>1067000000</v>
      </c>
      <c r="N44" s="47">
        <f t="shared" si="4"/>
        <v>0.07877860061072864</v>
      </c>
      <c r="O44" s="45">
        <f>1100000000-33000000</f>
        <v>1067000000</v>
      </c>
      <c r="P44" s="45"/>
      <c r="Q44" s="46">
        <f aca="true" t="shared" si="25" ref="Q44:Q56">O44/J44*100</f>
        <v>94.65017197971731</v>
      </c>
      <c r="R44" s="46">
        <f aca="true" t="shared" si="26" ref="R44:R56">O44/M44*100</f>
        <v>100</v>
      </c>
      <c r="S44" s="45">
        <f>1232000000+72000000-31000000+31000000+240000000+120000000-54000000</f>
        <v>1610000000</v>
      </c>
      <c r="T44" s="47">
        <f t="shared" si="7"/>
        <v>0.11079795624842649</v>
      </c>
      <c r="U44" s="46">
        <f aca="true" t="shared" si="27" ref="U44:U56">S44/M44*100</f>
        <v>150.89034676663542</v>
      </c>
      <c r="V44" s="46">
        <f aca="true" t="shared" si="28" ref="V44:V56">S44/O44*100</f>
        <v>150.89034676663542</v>
      </c>
      <c r="W44" s="45">
        <f>1273000000+90000000-32000000+32000000</f>
        <v>1363000000</v>
      </c>
      <c r="X44" s="46">
        <f aca="true" t="shared" si="29" ref="X44:X56">W44/S44*100</f>
        <v>84.6583850931677</v>
      </c>
      <c r="Y44" s="45">
        <v>1410000000</v>
      </c>
      <c r="Z44" s="46">
        <f aca="true" t="shared" si="30" ref="Z44:Z56">Y44/W44*100</f>
        <v>103.44827586206897</v>
      </c>
      <c r="AA44" s="45">
        <v>1450000000</v>
      </c>
      <c r="AB44" s="46">
        <f aca="true" t="shared" si="31" ref="AB44:AB56">AA44/Y44*100</f>
        <v>102.83687943262412</v>
      </c>
      <c r="AC44" s="31">
        <f t="shared" si="21"/>
        <v>1410705000</v>
      </c>
      <c r="AD44" s="31">
        <f t="shared" si="22"/>
        <v>1450889999.9999998</v>
      </c>
      <c r="AE44" s="45">
        <f t="shared" si="15"/>
        <v>1127819000</v>
      </c>
      <c r="AF44" s="45">
        <f t="shared" si="19"/>
        <v>1682450000</v>
      </c>
      <c r="AI44" s="45">
        <f>1232000000+72000000-31000000+31000000+240000000+120000000</f>
        <v>1664000000</v>
      </c>
      <c r="AJ44" s="45">
        <f>1232000000+72000000-31000000+31000000+240000000+120000000</f>
        <v>1664000000</v>
      </c>
      <c r="AK44" s="45">
        <f>1232000000+72000000-31000000+31000000+240000000+120000000-54000000</f>
        <v>1610000000</v>
      </c>
      <c r="AL44" s="45">
        <f aca="true" t="shared" si="32" ref="AL44:AL56">AJ44-AI44</f>
        <v>0</v>
      </c>
      <c r="AM44" s="45">
        <f aca="true" t="shared" si="33" ref="AM44:AM56">AK44-AJ44</f>
        <v>-54000000</v>
      </c>
    </row>
    <row r="45" spans="1:39" s="40" customFormat="1" ht="12.75" customHeight="1">
      <c r="A45" s="39" t="s">
        <v>108</v>
      </c>
      <c r="C45" s="40" t="s">
        <v>109</v>
      </c>
      <c r="D45" s="31"/>
      <c r="E45" s="31"/>
      <c r="F45" s="31"/>
      <c r="G45" s="31">
        <v>294399620</v>
      </c>
      <c r="H45" s="31">
        <v>40000000</v>
      </c>
      <c r="I45" s="31">
        <v>250000000</v>
      </c>
      <c r="J45" s="31">
        <v>291471573</v>
      </c>
      <c r="K45" s="31">
        <v>265000000</v>
      </c>
      <c r="L45" s="41">
        <f t="shared" si="24"/>
        <v>90.91795720332563</v>
      </c>
      <c r="M45" s="31">
        <f>265000000+50000000</f>
        <v>315000000</v>
      </c>
      <c r="N45" s="42">
        <f t="shared" si="4"/>
        <v>0.02325703766858437</v>
      </c>
      <c r="O45" s="31">
        <f>265000000+50000000</f>
        <v>315000000</v>
      </c>
      <c r="P45" s="31"/>
      <c r="Q45" s="41">
        <f t="shared" si="25"/>
        <v>108.07228875112291</v>
      </c>
      <c r="R45" s="41">
        <f t="shared" si="26"/>
        <v>100</v>
      </c>
      <c r="S45" s="31">
        <v>350000000</v>
      </c>
      <c r="T45" s="42">
        <f t="shared" si="7"/>
        <v>0.0240865122279188</v>
      </c>
      <c r="U45" s="41">
        <f t="shared" si="27"/>
        <v>111.11111111111111</v>
      </c>
      <c r="V45" s="41">
        <f t="shared" si="28"/>
        <v>111.11111111111111</v>
      </c>
      <c r="W45" s="31">
        <v>380000000</v>
      </c>
      <c r="X45" s="41">
        <f t="shared" si="29"/>
        <v>108.57142857142857</v>
      </c>
      <c r="Y45" s="31">
        <v>390000000</v>
      </c>
      <c r="Z45" s="41">
        <f t="shared" si="30"/>
        <v>102.63157894736842</v>
      </c>
      <c r="AA45" s="31">
        <v>400000000</v>
      </c>
      <c r="AB45" s="41">
        <f t="shared" si="31"/>
        <v>102.56410256410255</v>
      </c>
      <c r="AC45" s="31">
        <f t="shared" si="21"/>
        <v>393299999.99999994</v>
      </c>
      <c r="AD45" s="31">
        <f t="shared" si="22"/>
        <v>401309999.99999994</v>
      </c>
      <c r="AE45" s="31">
        <f t="shared" si="15"/>
        <v>332955000</v>
      </c>
      <c r="AF45" s="31">
        <f t="shared" si="19"/>
        <v>365750000</v>
      </c>
      <c r="AI45" s="31">
        <v>350000000</v>
      </c>
      <c r="AJ45" s="31">
        <v>350000000</v>
      </c>
      <c r="AK45" s="31">
        <v>350000000</v>
      </c>
      <c r="AL45" s="31">
        <f t="shared" si="32"/>
        <v>0</v>
      </c>
      <c r="AM45" s="31">
        <f t="shared" si="33"/>
        <v>0</v>
      </c>
    </row>
    <row r="46" spans="1:39" s="40" customFormat="1" ht="12.75" customHeight="1">
      <c r="A46" s="39" t="s">
        <v>110</v>
      </c>
      <c r="C46" s="40" t="s">
        <v>111</v>
      </c>
      <c r="D46" s="31"/>
      <c r="E46" s="31"/>
      <c r="F46" s="31"/>
      <c r="G46" s="31">
        <v>62636411</v>
      </c>
      <c r="H46" s="31">
        <v>48000000</v>
      </c>
      <c r="I46" s="31">
        <v>26000000</v>
      </c>
      <c r="J46" s="31">
        <v>28914691</v>
      </c>
      <c r="K46" s="31">
        <v>27000000</v>
      </c>
      <c r="L46" s="41">
        <f t="shared" si="24"/>
        <v>93.37813777778223</v>
      </c>
      <c r="M46" s="31">
        <f>27000000+3000000</f>
        <v>30000000</v>
      </c>
      <c r="N46" s="42">
        <f t="shared" si="4"/>
        <v>0.0022149559684366067</v>
      </c>
      <c r="O46" s="31">
        <f>27000000+3000000</f>
        <v>30000000</v>
      </c>
      <c r="P46" s="31"/>
      <c r="Q46" s="41">
        <f t="shared" si="25"/>
        <v>103.75348641975803</v>
      </c>
      <c r="R46" s="41">
        <f t="shared" si="26"/>
        <v>100</v>
      </c>
      <c r="S46" s="31">
        <v>31000000</v>
      </c>
      <c r="T46" s="42">
        <f t="shared" si="7"/>
        <v>0.002133376797329951</v>
      </c>
      <c r="U46" s="41">
        <f t="shared" si="27"/>
        <v>103.33333333333334</v>
      </c>
      <c r="V46" s="41">
        <f t="shared" si="28"/>
        <v>103.33333333333334</v>
      </c>
      <c r="W46" s="31">
        <v>32000000</v>
      </c>
      <c r="X46" s="41">
        <f t="shared" si="29"/>
        <v>103.2258064516129</v>
      </c>
      <c r="Y46" s="31">
        <v>33000000</v>
      </c>
      <c r="Z46" s="41">
        <f t="shared" si="30"/>
        <v>103.125</v>
      </c>
      <c r="AA46" s="31">
        <v>34000000</v>
      </c>
      <c r="AB46" s="41">
        <f t="shared" si="31"/>
        <v>103.03030303030303</v>
      </c>
      <c r="AC46" s="31">
        <f t="shared" si="21"/>
        <v>33119999.999999996</v>
      </c>
      <c r="AD46" s="31">
        <f t="shared" si="22"/>
        <v>33957000</v>
      </c>
      <c r="AE46" s="31">
        <f t="shared" si="15"/>
        <v>31710000</v>
      </c>
      <c r="AF46" s="31">
        <f t="shared" si="19"/>
        <v>32394999.999999996</v>
      </c>
      <c r="AI46" s="31">
        <v>31000000</v>
      </c>
      <c r="AJ46" s="31">
        <v>31000000</v>
      </c>
      <c r="AK46" s="31">
        <v>31000000</v>
      </c>
      <c r="AL46" s="31">
        <f t="shared" si="32"/>
        <v>0</v>
      </c>
      <c r="AM46" s="31">
        <f t="shared" si="33"/>
        <v>0</v>
      </c>
    </row>
    <row r="47" spans="1:39" s="35" customFormat="1" ht="12.75">
      <c r="A47" s="34">
        <v>7031</v>
      </c>
      <c r="C47" s="35" t="s">
        <v>112</v>
      </c>
      <c r="D47" s="36">
        <f>D48</f>
        <v>0</v>
      </c>
      <c r="E47" s="36">
        <f>E48</f>
        <v>0</v>
      </c>
      <c r="F47" s="36">
        <f>F48</f>
        <v>0</v>
      </c>
      <c r="G47" s="36">
        <f>SUM(G48:G49)</f>
        <v>0</v>
      </c>
      <c r="H47" s="36">
        <f>SUM(H48:H49)</f>
        <v>560000</v>
      </c>
      <c r="I47" s="36">
        <f>SUM(I48:I49)</f>
        <v>560000</v>
      </c>
      <c r="J47" s="36">
        <f>SUM(J48:J49)</f>
        <v>196518</v>
      </c>
      <c r="K47" s="36">
        <f>SUM(K48:K49)</f>
        <v>600000</v>
      </c>
      <c r="L47" s="37">
        <f t="shared" si="24"/>
        <v>305.3155436143254</v>
      </c>
      <c r="M47" s="36">
        <f>SUM(M48:M49)</f>
        <v>600000</v>
      </c>
      <c r="N47" s="38">
        <f t="shared" si="4"/>
        <v>4.4299119368732134E-05</v>
      </c>
      <c r="O47" s="36">
        <f>SUM(O48:O49)</f>
        <v>600000</v>
      </c>
      <c r="P47" s="36"/>
      <c r="Q47" s="37">
        <f t="shared" si="25"/>
        <v>305.3155436143254</v>
      </c>
      <c r="R47" s="37">
        <f t="shared" si="26"/>
        <v>100</v>
      </c>
      <c r="S47" s="36">
        <f>SUM(S48:S49)</f>
        <v>630000</v>
      </c>
      <c r="T47" s="38">
        <f t="shared" si="7"/>
        <v>4.3355722010253845E-05</v>
      </c>
      <c r="U47" s="37">
        <f t="shared" si="27"/>
        <v>105</v>
      </c>
      <c r="V47" s="37">
        <f t="shared" si="28"/>
        <v>105</v>
      </c>
      <c r="W47" s="36">
        <f>SUM(W48:W49)</f>
        <v>630000</v>
      </c>
      <c r="X47" s="37">
        <f t="shared" si="29"/>
        <v>100</v>
      </c>
      <c r="Y47" s="36">
        <f>SUM(Y48:Y49)</f>
        <v>650000</v>
      </c>
      <c r="Z47" s="37">
        <f t="shared" si="30"/>
        <v>103.17460317460319</v>
      </c>
      <c r="AA47" s="36">
        <f>SUM(AA48:AA49)</f>
        <v>670000</v>
      </c>
      <c r="AB47" s="37">
        <f t="shared" si="31"/>
        <v>103.07692307692307</v>
      </c>
      <c r="AC47" s="31">
        <f t="shared" si="21"/>
        <v>652050</v>
      </c>
      <c r="AD47" s="31">
        <f t="shared" si="22"/>
        <v>668850</v>
      </c>
      <c r="AE47" s="31">
        <f t="shared" si="15"/>
        <v>634200</v>
      </c>
      <c r="AF47" s="31">
        <f t="shared" si="19"/>
        <v>658350</v>
      </c>
      <c r="AI47" s="36">
        <f>SUM(AI48:AI49)</f>
        <v>630000</v>
      </c>
      <c r="AJ47" s="36">
        <f>SUM(AJ48:AJ49)</f>
        <v>630000</v>
      </c>
      <c r="AK47" s="36">
        <f>SUM(AK48:AK49)</f>
        <v>630000</v>
      </c>
      <c r="AL47" s="36">
        <f t="shared" si="32"/>
        <v>0</v>
      </c>
      <c r="AM47" s="36">
        <f t="shared" si="33"/>
        <v>0</v>
      </c>
    </row>
    <row r="48" spans="1:39" s="40" customFormat="1" ht="12.75" customHeight="1">
      <c r="A48" s="39" t="s">
        <v>113</v>
      </c>
      <c r="C48" s="40" t="s">
        <v>114</v>
      </c>
      <c r="D48" s="31">
        <v>0</v>
      </c>
      <c r="E48" s="31">
        <v>0</v>
      </c>
      <c r="F48" s="31">
        <v>0</v>
      </c>
      <c r="G48" s="31">
        <v>0</v>
      </c>
      <c r="H48" s="31">
        <v>560000</v>
      </c>
      <c r="I48" s="31">
        <v>560000</v>
      </c>
      <c r="J48" s="31">
        <v>196518</v>
      </c>
      <c r="K48" s="31">
        <v>600000</v>
      </c>
      <c r="L48" s="41">
        <f t="shared" si="24"/>
        <v>305.3155436143254</v>
      </c>
      <c r="M48" s="31">
        <v>600000</v>
      </c>
      <c r="N48" s="42">
        <f t="shared" si="4"/>
        <v>4.4299119368732134E-05</v>
      </c>
      <c r="O48" s="31">
        <v>600000</v>
      </c>
      <c r="P48" s="31"/>
      <c r="Q48" s="41">
        <f t="shared" si="25"/>
        <v>305.3155436143254</v>
      </c>
      <c r="R48" s="41">
        <f t="shared" si="26"/>
        <v>100</v>
      </c>
      <c r="S48" s="31">
        <v>630000</v>
      </c>
      <c r="T48" s="42">
        <f t="shared" si="7"/>
        <v>4.3355722010253845E-05</v>
      </c>
      <c r="U48" s="41">
        <f t="shared" si="27"/>
        <v>105</v>
      </c>
      <c r="V48" s="41">
        <f t="shared" si="28"/>
        <v>105</v>
      </c>
      <c r="W48" s="31">
        <v>630000</v>
      </c>
      <c r="X48" s="41">
        <f t="shared" si="29"/>
        <v>100</v>
      </c>
      <c r="Y48" s="31">
        <v>650000</v>
      </c>
      <c r="Z48" s="41">
        <f t="shared" si="30"/>
        <v>103.17460317460319</v>
      </c>
      <c r="AA48" s="31">
        <v>670000</v>
      </c>
      <c r="AB48" s="41">
        <f t="shared" si="31"/>
        <v>103.07692307692307</v>
      </c>
      <c r="AC48" s="31">
        <f t="shared" si="21"/>
        <v>652050</v>
      </c>
      <c r="AD48" s="31">
        <f t="shared" si="22"/>
        <v>668850</v>
      </c>
      <c r="AE48" s="31">
        <f t="shared" si="15"/>
        <v>634200</v>
      </c>
      <c r="AF48" s="31">
        <f t="shared" si="19"/>
        <v>658350</v>
      </c>
      <c r="AI48" s="31">
        <v>630000</v>
      </c>
      <c r="AJ48" s="31">
        <v>630000</v>
      </c>
      <c r="AK48" s="31">
        <v>630000</v>
      </c>
      <c r="AL48" s="31">
        <f t="shared" si="32"/>
        <v>0</v>
      </c>
      <c r="AM48" s="31">
        <f t="shared" si="33"/>
        <v>0</v>
      </c>
    </row>
    <row r="49" spans="1:39" s="40" customFormat="1" ht="12.75" customHeight="1" hidden="1">
      <c r="A49" s="39" t="s">
        <v>115</v>
      </c>
      <c r="C49" s="40" t="s">
        <v>116</v>
      </c>
      <c r="D49" s="31"/>
      <c r="E49" s="31"/>
      <c r="F49" s="31"/>
      <c r="G49" s="31"/>
      <c r="H49" s="31"/>
      <c r="I49" s="31"/>
      <c r="J49" s="31"/>
      <c r="K49" s="31"/>
      <c r="L49" s="31" t="e">
        <f t="shared" si="24"/>
        <v>#DIV/0!</v>
      </c>
      <c r="M49" s="31"/>
      <c r="N49" s="42">
        <f aca="true" t="shared" si="34" ref="N49:N80">M49/$M$9</f>
        <v>0</v>
      </c>
      <c r="O49" s="31"/>
      <c r="P49" s="31"/>
      <c r="Q49" s="31" t="e">
        <f t="shared" si="25"/>
        <v>#DIV/0!</v>
      </c>
      <c r="R49" s="31" t="e">
        <f t="shared" si="26"/>
        <v>#DIV/0!</v>
      </c>
      <c r="S49" s="31"/>
      <c r="T49" s="42">
        <f aca="true" t="shared" si="35" ref="T49:T80">S49/$S$9</f>
        <v>0</v>
      </c>
      <c r="U49" s="31" t="e">
        <f t="shared" si="27"/>
        <v>#DIV/0!</v>
      </c>
      <c r="V49" s="31" t="e">
        <f t="shared" si="28"/>
        <v>#DIV/0!</v>
      </c>
      <c r="W49" s="31"/>
      <c r="X49" s="31" t="e">
        <f t="shared" si="29"/>
        <v>#DIV/0!</v>
      </c>
      <c r="Y49" s="31"/>
      <c r="Z49" s="31" t="e">
        <f t="shared" si="30"/>
        <v>#DIV/0!</v>
      </c>
      <c r="AA49" s="31"/>
      <c r="AB49" s="31" t="e">
        <f t="shared" si="31"/>
        <v>#DIV/0!</v>
      </c>
      <c r="AC49" s="31">
        <f t="shared" si="21"/>
        <v>0</v>
      </c>
      <c r="AD49" s="31">
        <f t="shared" si="22"/>
        <v>0</v>
      </c>
      <c r="AE49" s="31">
        <f t="shared" si="15"/>
        <v>0</v>
      </c>
      <c r="AF49" s="31">
        <f t="shared" si="19"/>
        <v>0</v>
      </c>
      <c r="AI49" s="31"/>
      <c r="AJ49" s="31"/>
      <c r="AK49" s="31"/>
      <c r="AL49" s="31">
        <f t="shared" si="32"/>
        <v>0</v>
      </c>
      <c r="AM49" s="31">
        <f t="shared" si="33"/>
        <v>0</v>
      </c>
    </row>
    <row r="50" spans="1:39" s="35" customFormat="1" ht="12.75">
      <c r="A50" s="34">
        <v>7032</v>
      </c>
      <c r="C50" s="35" t="s">
        <v>117</v>
      </c>
      <c r="D50" s="36">
        <v>35000000</v>
      </c>
      <c r="E50" s="36">
        <f>SUM(E51:E52)</f>
        <v>38053113</v>
      </c>
      <c r="F50" s="36">
        <v>25000000</v>
      </c>
      <c r="G50" s="36">
        <f>SUM(G51:G52)</f>
        <v>21487221</v>
      </c>
      <c r="H50" s="36">
        <f>SUM(H51:H52)</f>
        <v>19000000</v>
      </c>
      <c r="I50" s="36">
        <f>SUM(I51:I52)</f>
        <v>14000000</v>
      </c>
      <c r="J50" s="36">
        <f>SUM(J51:J52)</f>
        <v>18025517</v>
      </c>
      <c r="K50" s="36">
        <f>SUM(K51:K52)</f>
        <v>15000000</v>
      </c>
      <c r="L50" s="37">
        <f t="shared" si="24"/>
        <v>83.21536630544355</v>
      </c>
      <c r="M50" s="36">
        <f>SUM(M51:M52)</f>
        <v>16000000</v>
      </c>
      <c r="N50" s="38">
        <f t="shared" si="34"/>
        <v>0.0011813098498328568</v>
      </c>
      <c r="O50" s="36">
        <f>SUM(O51:O52)</f>
        <v>16500000</v>
      </c>
      <c r="P50" s="36"/>
      <c r="Q50" s="37">
        <f t="shared" si="25"/>
        <v>91.53690293598791</v>
      </c>
      <c r="R50" s="37">
        <f t="shared" si="26"/>
        <v>103.125</v>
      </c>
      <c r="S50" s="36">
        <f>SUM(S51:S52)</f>
        <v>16700000</v>
      </c>
      <c r="T50" s="38">
        <f t="shared" si="35"/>
        <v>0.0011492707263035542</v>
      </c>
      <c r="U50" s="37">
        <f t="shared" si="27"/>
        <v>104.375</v>
      </c>
      <c r="V50" s="37">
        <f t="shared" si="28"/>
        <v>101.21212121212122</v>
      </c>
      <c r="W50" s="36">
        <f>SUM(W51:W52)</f>
        <v>17300000</v>
      </c>
      <c r="X50" s="37">
        <f t="shared" si="29"/>
        <v>103.59281437125749</v>
      </c>
      <c r="Y50" s="36">
        <f>SUM(Y51:Y52)</f>
        <v>17800000</v>
      </c>
      <c r="Z50" s="37">
        <f t="shared" si="30"/>
        <v>102.89017341040463</v>
      </c>
      <c r="AA50" s="36">
        <f>SUM(AA51:AA52)</f>
        <v>18300000</v>
      </c>
      <c r="AB50" s="37">
        <f t="shared" si="31"/>
        <v>102.80898876404494</v>
      </c>
      <c r="AC50" s="31">
        <f t="shared" si="21"/>
        <v>17905500</v>
      </c>
      <c r="AD50" s="31">
        <f t="shared" si="22"/>
        <v>18316200</v>
      </c>
      <c r="AE50" s="31">
        <f t="shared" si="15"/>
        <v>16912000</v>
      </c>
      <c r="AF50" s="31">
        <f t="shared" si="19"/>
        <v>17451500</v>
      </c>
      <c r="AI50" s="36">
        <f>SUM(AI51:AI52)</f>
        <v>16700000</v>
      </c>
      <c r="AJ50" s="36">
        <f>SUM(AJ51:AJ52)</f>
        <v>16700000</v>
      </c>
      <c r="AK50" s="36">
        <f>SUM(AK51:AK52)</f>
        <v>16700000</v>
      </c>
      <c r="AL50" s="36">
        <f t="shared" si="32"/>
        <v>0</v>
      </c>
      <c r="AM50" s="36">
        <f t="shared" si="33"/>
        <v>0</v>
      </c>
    </row>
    <row r="51" spans="1:39" s="40" customFormat="1" ht="12.75" customHeight="1">
      <c r="A51" s="39" t="s">
        <v>118</v>
      </c>
      <c r="C51" s="40" t="s">
        <v>119</v>
      </c>
      <c r="D51" s="31"/>
      <c r="E51" s="31">
        <v>38053113</v>
      </c>
      <c r="F51" s="31"/>
      <c r="G51" s="31">
        <v>20429222</v>
      </c>
      <c r="H51" s="31">
        <v>19000000</v>
      </c>
      <c r="I51" s="31">
        <v>14000000</v>
      </c>
      <c r="J51" s="31">
        <v>17308492</v>
      </c>
      <c r="K51" s="31">
        <v>15000000</v>
      </c>
      <c r="L51" s="41">
        <f t="shared" si="24"/>
        <v>86.66266246649332</v>
      </c>
      <c r="M51" s="31">
        <v>15000000</v>
      </c>
      <c r="N51" s="42">
        <f t="shared" si="34"/>
        <v>0.0011074779842183034</v>
      </c>
      <c r="O51" s="31">
        <v>15000000</v>
      </c>
      <c r="P51" s="31"/>
      <c r="Q51" s="41">
        <f t="shared" si="25"/>
        <v>86.66266246649332</v>
      </c>
      <c r="R51" s="41">
        <f t="shared" si="26"/>
        <v>100</v>
      </c>
      <c r="S51" s="31">
        <v>15700000</v>
      </c>
      <c r="T51" s="42">
        <f t="shared" si="35"/>
        <v>0.0010804521199380718</v>
      </c>
      <c r="U51" s="41">
        <f t="shared" si="27"/>
        <v>104.66666666666666</v>
      </c>
      <c r="V51" s="41">
        <f t="shared" si="28"/>
        <v>104.66666666666666</v>
      </c>
      <c r="W51" s="31">
        <v>16300000</v>
      </c>
      <c r="X51" s="41">
        <f t="shared" si="29"/>
        <v>103.82165605095541</v>
      </c>
      <c r="Y51" s="31">
        <v>16800000</v>
      </c>
      <c r="Z51" s="41">
        <f t="shared" si="30"/>
        <v>103.06748466257669</v>
      </c>
      <c r="AA51" s="31">
        <v>17300000</v>
      </c>
      <c r="AB51" s="41">
        <f t="shared" si="31"/>
        <v>102.97619047619047</v>
      </c>
      <c r="AC51" s="31">
        <f t="shared" si="21"/>
        <v>16870500</v>
      </c>
      <c r="AD51" s="31">
        <f t="shared" si="22"/>
        <v>17287200</v>
      </c>
      <c r="AE51" s="31">
        <f aca="true" t="shared" si="36" ref="AE51:AE82">M51*1.057</f>
        <v>15855000</v>
      </c>
      <c r="AF51" s="31">
        <f t="shared" si="19"/>
        <v>16406499.999999998</v>
      </c>
      <c r="AI51" s="31">
        <v>15700000</v>
      </c>
      <c r="AJ51" s="31">
        <v>15700000</v>
      </c>
      <c r="AK51" s="31">
        <v>15700000</v>
      </c>
      <c r="AL51" s="31">
        <f t="shared" si="32"/>
        <v>0</v>
      </c>
      <c r="AM51" s="31">
        <f t="shared" si="33"/>
        <v>0</v>
      </c>
    </row>
    <row r="52" spans="1:39" s="40" customFormat="1" ht="12.75" customHeight="1">
      <c r="A52" s="39" t="s">
        <v>120</v>
      </c>
      <c r="C52" s="40" t="s">
        <v>121</v>
      </c>
      <c r="D52" s="31"/>
      <c r="E52" s="31"/>
      <c r="F52" s="31"/>
      <c r="G52" s="31">
        <v>1057999</v>
      </c>
      <c r="H52" s="31"/>
      <c r="I52" s="31"/>
      <c r="J52" s="31">
        <v>717025</v>
      </c>
      <c r="K52" s="31"/>
      <c r="L52" s="31">
        <f t="shared" si="24"/>
        <v>0</v>
      </c>
      <c r="M52" s="31">
        <v>1000000</v>
      </c>
      <c r="N52" s="42">
        <f t="shared" si="34"/>
        <v>7.383186561455355E-05</v>
      </c>
      <c r="O52" s="31">
        <v>1500000</v>
      </c>
      <c r="P52" s="31"/>
      <c r="Q52" s="31">
        <f t="shared" si="25"/>
        <v>209.1977267180363</v>
      </c>
      <c r="R52" s="31">
        <f t="shared" si="26"/>
        <v>150</v>
      </c>
      <c r="S52" s="31">
        <v>1000000</v>
      </c>
      <c r="T52" s="42">
        <f t="shared" si="35"/>
        <v>6.881860636548228E-05</v>
      </c>
      <c r="U52" s="41">
        <f t="shared" si="27"/>
        <v>100</v>
      </c>
      <c r="V52" s="41">
        <f t="shared" si="28"/>
        <v>66.66666666666666</v>
      </c>
      <c r="W52" s="31">
        <v>1000000</v>
      </c>
      <c r="X52" s="41">
        <f t="shared" si="29"/>
        <v>100</v>
      </c>
      <c r="Y52" s="31">
        <v>1000000</v>
      </c>
      <c r="Z52" s="41">
        <f t="shared" si="30"/>
        <v>100</v>
      </c>
      <c r="AA52" s="31">
        <v>1000000</v>
      </c>
      <c r="AB52" s="41">
        <f t="shared" si="31"/>
        <v>100</v>
      </c>
      <c r="AC52" s="31">
        <f t="shared" si="21"/>
        <v>1034999.9999999999</v>
      </c>
      <c r="AD52" s="31">
        <f t="shared" si="22"/>
        <v>1028999.9999999999</v>
      </c>
      <c r="AE52" s="31">
        <f t="shared" si="36"/>
        <v>1057000</v>
      </c>
      <c r="AF52" s="31">
        <f t="shared" si="19"/>
        <v>1044999.9999999999</v>
      </c>
      <c r="AI52" s="31">
        <v>1000000</v>
      </c>
      <c r="AJ52" s="31">
        <v>1000000</v>
      </c>
      <c r="AK52" s="31">
        <v>1000000</v>
      </c>
      <c r="AL52" s="31">
        <f t="shared" si="32"/>
        <v>0</v>
      </c>
      <c r="AM52" s="31">
        <f t="shared" si="33"/>
        <v>0</v>
      </c>
    </row>
    <row r="53" spans="1:39" s="35" customFormat="1" ht="12.75">
      <c r="A53" s="34">
        <v>7033</v>
      </c>
      <c r="C53" s="35" t="s">
        <v>122</v>
      </c>
      <c r="D53" s="36">
        <v>308000000</v>
      </c>
      <c r="E53" s="36">
        <v>394824042</v>
      </c>
      <c r="F53" s="36">
        <v>560000000</v>
      </c>
      <c r="G53" s="36">
        <f>SUM(G54:G58)</f>
        <v>528437503</v>
      </c>
      <c r="H53" s="36">
        <f>SUM(H54:H58)</f>
        <v>490000000</v>
      </c>
      <c r="I53" s="36">
        <f>SUM(I54:I58)</f>
        <v>560000000</v>
      </c>
      <c r="J53" s="36">
        <f>SUM(J54:J58)</f>
        <v>544701779</v>
      </c>
      <c r="K53" s="36">
        <f>SUM(K54:K58)</f>
        <v>595000000</v>
      </c>
      <c r="L53" s="37">
        <f t="shared" si="24"/>
        <v>109.23408421620007</v>
      </c>
      <c r="M53" s="36">
        <f>SUM(M54:M58)</f>
        <v>595000000</v>
      </c>
      <c r="N53" s="38">
        <f t="shared" si="34"/>
        <v>0.04392996004065936</v>
      </c>
      <c r="O53" s="36">
        <f>SUM(O54:O58)</f>
        <v>653000000</v>
      </c>
      <c r="P53" s="36"/>
      <c r="Q53" s="37">
        <f t="shared" si="25"/>
        <v>119.88211259357755</v>
      </c>
      <c r="R53" s="37">
        <f t="shared" si="26"/>
        <v>109.74789915966387</v>
      </c>
      <c r="S53" s="36">
        <f>SUM(S54:S58)</f>
        <v>680000000</v>
      </c>
      <c r="T53" s="38">
        <f t="shared" si="35"/>
        <v>0.046796652328527956</v>
      </c>
      <c r="U53" s="37">
        <f t="shared" si="27"/>
        <v>114.28571428571428</v>
      </c>
      <c r="V53" s="37">
        <f t="shared" si="28"/>
        <v>104.13476263399694</v>
      </c>
      <c r="W53" s="36">
        <f>SUM(W54:W58)</f>
        <v>705000000</v>
      </c>
      <c r="X53" s="37">
        <f t="shared" si="29"/>
        <v>103.6764705882353</v>
      </c>
      <c r="Y53" s="36">
        <f>SUM(Y54:Y58)</f>
        <v>730000000</v>
      </c>
      <c r="Z53" s="37">
        <f t="shared" si="30"/>
        <v>103.54609929078013</v>
      </c>
      <c r="AA53" s="36">
        <f>SUM(AA54:AA58)</f>
        <v>753000000</v>
      </c>
      <c r="AB53" s="37">
        <f t="shared" si="31"/>
        <v>103.15068493150686</v>
      </c>
      <c r="AC53" s="31">
        <f t="shared" si="21"/>
        <v>729675000</v>
      </c>
      <c r="AD53" s="31">
        <f t="shared" si="22"/>
        <v>751169999.9999999</v>
      </c>
      <c r="AE53" s="31">
        <f t="shared" si="36"/>
        <v>628915000</v>
      </c>
      <c r="AF53" s="31">
        <f t="shared" si="19"/>
        <v>710600000</v>
      </c>
      <c r="AI53" s="36">
        <f>SUM(AI54:AI58)</f>
        <v>680000000</v>
      </c>
      <c r="AJ53" s="36">
        <f>SUM(AJ54:AJ58)</f>
        <v>680000000</v>
      </c>
      <c r="AK53" s="36">
        <f>SUM(AK54:AK58)</f>
        <v>680000000</v>
      </c>
      <c r="AL53" s="36">
        <f t="shared" si="32"/>
        <v>0</v>
      </c>
      <c r="AM53" s="36">
        <f t="shared" si="33"/>
        <v>0</v>
      </c>
    </row>
    <row r="54" spans="1:39" s="40" customFormat="1" ht="12.75" customHeight="1">
      <c r="A54" s="39" t="s">
        <v>123</v>
      </c>
      <c r="C54" s="40" t="s">
        <v>124</v>
      </c>
      <c r="D54" s="31"/>
      <c r="E54" s="31"/>
      <c r="F54" s="31"/>
      <c r="G54" s="31">
        <v>311594588</v>
      </c>
      <c r="H54" s="31">
        <v>282000000</v>
      </c>
      <c r="I54" s="31">
        <v>320000000</v>
      </c>
      <c r="J54" s="31">
        <v>331921944</v>
      </c>
      <c r="K54" s="31">
        <v>340000000</v>
      </c>
      <c r="L54" s="41">
        <f t="shared" si="24"/>
        <v>102.43372158606061</v>
      </c>
      <c r="M54" s="31">
        <v>340000000</v>
      </c>
      <c r="N54" s="42">
        <f t="shared" si="34"/>
        <v>0.025102834308948208</v>
      </c>
      <c r="O54" s="31">
        <v>370000000</v>
      </c>
      <c r="P54" s="31"/>
      <c r="Q54" s="41">
        <f t="shared" si="25"/>
        <v>111.47199113777184</v>
      </c>
      <c r="R54" s="41">
        <f t="shared" si="26"/>
        <v>108.8235294117647</v>
      </c>
      <c r="S54" s="31">
        <v>386000000</v>
      </c>
      <c r="T54" s="42">
        <f t="shared" si="35"/>
        <v>0.026563982057076163</v>
      </c>
      <c r="U54" s="41">
        <f t="shared" si="27"/>
        <v>113.52941176470588</v>
      </c>
      <c r="V54" s="41">
        <f t="shared" si="28"/>
        <v>104.32432432432432</v>
      </c>
      <c r="W54" s="31">
        <v>400000000</v>
      </c>
      <c r="X54" s="41">
        <f t="shared" si="29"/>
        <v>103.62694300518133</v>
      </c>
      <c r="Y54" s="31">
        <v>414000000</v>
      </c>
      <c r="Z54" s="41">
        <f t="shared" si="30"/>
        <v>103.49999999999999</v>
      </c>
      <c r="AA54" s="31">
        <v>426000000</v>
      </c>
      <c r="AB54" s="41">
        <f t="shared" si="31"/>
        <v>102.89855072463767</v>
      </c>
      <c r="AC54" s="31">
        <f t="shared" si="21"/>
        <v>413999999.99999994</v>
      </c>
      <c r="AD54" s="31">
        <f t="shared" si="22"/>
        <v>426005999.99999994</v>
      </c>
      <c r="AE54" s="31">
        <f t="shared" si="36"/>
        <v>359380000</v>
      </c>
      <c r="AF54" s="31">
        <f t="shared" si="19"/>
        <v>403370000</v>
      </c>
      <c r="AI54" s="31">
        <v>386000000</v>
      </c>
      <c r="AJ54" s="31">
        <v>386000000</v>
      </c>
      <c r="AK54" s="31">
        <v>386000000</v>
      </c>
      <c r="AL54" s="31">
        <f t="shared" si="32"/>
        <v>0</v>
      </c>
      <c r="AM54" s="31">
        <f t="shared" si="33"/>
        <v>0</v>
      </c>
    </row>
    <row r="55" spans="1:39" s="40" customFormat="1" ht="12.75" customHeight="1">
      <c r="A55" s="39" t="s">
        <v>125</v>
      </c>
      <c r="C55" s="40" t="s">
        <v>126</v>
      </c>
      <c r="D55" s="31"/>
      <c r="E55" s="31"/>
      <c r="F55" s="31"/>
      <c r="G55" s="31">
        <v>202233802</v>
      </c>
      <c r="H55" s="31">
        <v>176000000</v>
      </c>
      <c r="I55" s="31">
        <v>206000000</v>
      </c>
      <c r="J55" s="31">
        <v>194226585</v>
      </c>
      <c r="K55" s="31">
        <v>220000000</v>
      </c>
      <c r="L55" s="41">
        <f t="shared" si="24"/>
        <v>113.26976685503686</v>
      </c>
      <c r="M55" s="31">
        <v>220000000</v>
      </c>
      <c r="N55" s="42">
        <f t="shared" si="34"/>
        <v>0.016243010435201783</v>
      </c>
      <c r="O55" s="31">
        <v>240000000</v>
      </c>
      <c r="P55" s="31"/>
      <c r="Q55" s="41">
        <f t="shared" si="25"/>
        <v>123.56701838731294</v>
      </c>
      <c r="R55" s="41">
        <f t="shared" si="26"/>
        <v>109.09090909090908</v>
      </c>
      <c r="S55" s="31">
        <v>250000000</v>
      </c>
      <c r="T55" s="42">
        <f t="shared" si="35"/>
        <v>0.017204651591370572</v>
      </c>
      <c r="U55" s="41">
        <f t="shared" si="27"/>
        <v>113.63636363636364</v>
      </c>
      <c r="V55" s="41">
        <f t="shared" si="28"/>
        <v>104.16666666666667</v>
      </c>
      <c r="W55" s="31">
        <v>260000000</v>
      </c>
      <c r="X55" s="41">
        <f t="shared" si="29"/>
        <v>104</v>
      </c>
      <c r="Y55" s="31">
        <v>270000000</v>
      </c>
      <c r="Z55" s="41">
        <f t="shared" si="30"/>
        <v>103.84615384615385</v>
      </c>
      <c r="AA55" s="31">
        <v>280000000</v>
      </c>
      <c r="AB55" s="41">
        <f t="shared" si="31"/>
        <v>103.7037037037037</v>
      </c>
      <c r="AC55" s="31">
        <f t="shared" si="21"/>
        <v>269100000</v>
      </c>
      <c r="AD55" s="31">
        <f t="shared" si="22"/>
        <v>277830000</v>
      </c>
      <c r="AE55" s="31">
        <f t="shared" si="36"/>
        <v>232540000</v>
      </c>
      <c r="AF55" s="31">
        <f t="shared" si="19"/>
        <v>261249999.99999997</v>
      </c>
      <c r="AI55" s="31">
        <v>250000000</v>
      </c>
      <c r="AJ55" s="31">
        <v>250000000</v>
      </c>
      <c r="AK55" s="31">
        <v>250000000</v>
      </c>
      <c r="AL55" s="31">
        <f t="shared" si="32"/>
        <v>0</v>
      </c>
      <c r="AM55" s="31">
        <f t="shared" si="33"/>
        <v>0</v>
      </c>
    </row>
    <row r="56" spans="1:39" s="40" customFormat="1" ht="12.75" customHeight="1">
      <c r="A56" s="39" t="s">
        <v>127</v>
      </c>
      <c r="C56" s="40" t="s">
        <v>128</v>
      </c>
      <c r="D56" s="31"/>
      <c r="E56" s="31"/>
      <c r="F56" s="31"/>
      <c r="G56" s="31">
        <v>2465188</v>
      </c>
      <c r="H56" s="31">
        <v>10000000</v>
      </c>
      <c r="I56" s="31">
        <v>12000000</v>
      </c>
      <c r="J56" s="31">
        <v>7878647</v>
      </c>
      <c r="K56" s="31">
        <v>13000000</v>
      </c>
      <c r="L56" s="41">
        <f t="shared" si="24"/>
        <v>165.00295037967814</v>
      </c>
      <c r="M56" s="31">
        <v>13000000</v>
      </c>
      <c r="N56" s="42">
        <f t="shared" si="34"/>
        <v>0.0009598142529891962</v>
      </c>
      <c r="O56" s="31">
        <v>13000000</v>
      </c>
      <c r="P56" s="31"/>
      <c r="Q56" s="41">
        <f t="shared" si="25"/>
        <v>165.00295037967814</v>
      </c>
      <c r="R56" s="41">
        <f t="shared" si="26"/>
        <v>100</v>
      </c>
      <c r="S56" s="31">
        <v>13000000</v>
      </c>
      <c r="T56" s="42">
        <f t="shared" si="35"/>
        <v>0.0008946418827512697</v>
      </c>
      <c r="U56" s="41">
        <f t="shared" si="27"/>
        <v>100</v>
      </c>
      <c r="V56" s="41">
        <f t="shared" si="28"/>
        <v>100</v>
      </c>
      <c r="W56" s="31">
        <v>13000000</v>
      </c>
      <c r="X56" s="41">
        <f t="shared" si="29"/>
        <v>100</v>
      </c>
      <c r="Y56" s="31">
        <v>13000000</v>
      </c>
      <c r="Z56" s="41">
        <f t="shared" si="30"/>
        <v>100</v>
      </c>
      <c r="AA56" s="31">
        <v>13000000</v>
      </c>
      <c r="AB56" s="41">
        <f t="shared" si="31"/>
        <v>100</v>
      </c>
      <c r="AC56" s="31">
        <f t="shared" si="21"/>
        <v>13454999.999999998</v>
      </c>
      <c r="AD56" s="31">
        <f t="shared" si="22"/>
        <v>13376999.999999998</v>
      </c>
      <c r="AE56" s="31">
        <f t="shared" si="36"/>
        <v>13741000</v>
      </c>
      <c r="AF56" s="31">
        <f t="shared" si="19"/>
        <v>13585000</v>
      </c>
      <c r="AI56" s="31">
        <v>13000000</v>
      </c>
      <c r="AJ56" s="31">
        <v>13000000</v>
      </c>
      <c r="AK56" s="31">
        <v>13000000</v>
      </c>
      <c r="AL56" s="31">
        <f t="shared" si="32"/>
        <v>0</v>
      </c>
      <c r="AM56" s="31">
        <f t="shared" si="33"/>
        <v>0</v>
      </c>
    </row>
    <row r="57" spans="1:39" s="40" customFormat="1" ht="12.75" customHeight="1">
      <c r="A57" s="39"/>
      <c r="C57" s="40" t="s">
        <v>129</v>
      </c>
      <c r="D57" s="31"/>
      <c r="E57" s="31"/>
      <c r="F57" s="31"/>
      <c r="G57" s="31"/>
      <c r="H57" s="31"/>
      <c r="I57" s="31"/>
      <c r="J57" s="31"/>
      <c r="K57" s="31"/>
      <c r="L57" s="41"/>
      <c r="M57" s="31"/>
      <c r="N57" s="42">
        <f t="shared" si="34"/>
        <v>0</v>
      </c>
      <c r="O57" s="31"/>
      <c r="P57" s="31"/>
      <c r="Q57" s="41"/>
      <c r="R57" s="41"/>
      <c r="S57" s="31"/>
      <c r="T57" s="42">
        <f t="shared" si="35"/>
        <v>0</v>
      </c>
      <c r="U57" s="41"/>
      <c r="V57" s="41"/>
      <c r="W57" s="31"/>
      <c r="X57" s="41"/>
      <c r="Y57" s="31"/>
      <c r="Z57" s="41"/>
      <c r="AA57" s="31"/>
      <c r="AB57" s="41"/>
      <c r="AC57" s="31">
        <f t="shared" si="21"/>
        <v>0</v>
      </c>
      <c r="AD57" s="31">
        <f t="shared" si="22"/>
        <v>0</v>
      </c>
      <c r="AE57" s="31">
        <f t="shared" si="36"/>
        <v>0</v>
      </c>
      <c r="AF57" s="31">
        <f t="shared" si="19"/>
        <v>0</v>
      </c>
      <c r="AI57" s="31"/>
      <c r="AJ57" s="31"/>
      <c r="AK57" s="31"/>
      <c r="AL57" s="31"/>
      <c r="AM57" s="31"/>
    </row>
    <row r="58" spans="1:39" s="40" customFormat="1" ht="12.75" customHeight="1">
      <c r="A58" s="39" t="s">
        <v>130</v>
      </c>
      <c r="C58" s="40" t="s">
        <v>131</v>
      </c>
      <c r="D58" s="31"/>
      <c r="E58" s="31"/>
      <c r="F58" s="31"/>
      <c r="G58" s="31">
        <v>12143925</v>
      </c>
      <c r="H58" s="31">
        <v>22000000</v>
      </c>
      <c r="I58" s="31">
        <v>22000000</v>
      </c>
      <c r="J58" s="31">
        <v>10674603</v>
      </c>
      <c r="K58" s="31">
        <v>22000000</v>
      </c>
      <c r="L58" s="41">
        <f>K58/J58*100</f>
        <v>206.09665764619066</v>
      </c>
      <c r="M58" s="31">
        <v>22000000</v>
      </c>
      <c r="N58" s="42">
        <f t="shared" si="34"/>
        <v>0.0016243010435201782</v>
      </c>
      <c r="O58" s="31">
        <v>30000000</v>
      </c>
      <c r="P58" s="31"/>
      <c r="Q58" s="41">
        <f>O58/J58*100</f>
        <v>281.04089679026004</v>
      </c>
      <c r="R58" s="41">
        <f>O58/M58*100</f>
        <v>136.36363636363635</v>
      </c>
      <c r="S58" s="31">
        <v>31000000</v>
      </c>
      <c r="T58" s="42">
        <f t="shared" si="35"/>
        <v>0.002133376797329951</v>
      </c>
      <c r="U58" s="41">
        <f>S58/M58*100</f>
        <v>140.9090909090909</v>
      </c>
      <c r="V58" s="41">
        <f>S58/O58*100</f>
        <v>103.33333333333334</v>
      </c>
      <c r="W58" s="31">
        <v>32000000</v>
      </c>
      <c r="X58" s="41">
        <f>W58/S58*100</f>
        <v>103.2258064516129</v>
      </c>
      <c r="Y58" s="31">
        <v>33000000</v>
      </c>
      <c r="Z58" s="41">
        <f>Y58/W58*100</f>
        <v>103.125</v>
      </c>
      <c r="AA58" s="31">
        <v>34000000</v>
      </c>
      <c r="AB58" s="41">
        <f>AA58/Y58*100</f>
        <v>103.03030303030303</v>
      </c>
      <c r="AC58" s="31">
        <f t="shared" si="21"/>
        <v>33119999.999999996</v>
      </c>
      <c r="AD58" s="31">
        <f t="shared" si="22"/>
        <v>33957000</v>
      </c>
      <c r="AE58" s="31">
        <f t="shared" si="36"/>
        <v>23254000</v>
      </c>
      <c r="AF58" s="31">
        <f t="shared" si="19"/>
        <v>32394999.999999996</v>
      </c>
      <c r="AI58" s="31">
        <v>31000000</v>
      </c>
      <c r="AJ58" s="31">
        <v>31000000</v>
      </c>
      <c r="AK58" s="31">
        <v>31000000</v>
      </c>
      <c r="AL58" s="31">
        <f>AJ58-AI58</f>
        <v>0</v>
      </c>
      <c r="AM58" s="31">
        <f>AK58-AJ58</f>
        <v>0</v>
      </c>
    </row>
    <row r="59" spans="1:39" ht="8.25" customHeight="1">
      <c r="A59" s="2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>
        <f t="shared" si="34"/>
        <v>0</v>
      </c>
      <c r="O59" s="25"/>
      <c r="P59" s="25"/>
      <c r="Q59" s="25"/>
      <c r="R59" s="25"/>
      <c r="S59" s="25"/>
      <c r="T59" s="26">
        <f t="shared" si="35"/>
        <v>0</v>
      </c>
      <c r="U59" s="25"/>
      <c r="V59" s="25"/>
      <c r="W59" s="25"/>
      <c r="X59" s="25"/>
      <c r="Y59" s="25"/>
      <c r="Z59" s="25"/>
      <c r="AA59" s="25"/>
      <c r="AB59" s="25"/>
      <c r="AC59" s="31">
        <f t="shared" si="21"/>
        <v>0</v>
      </c>
      <c r="AD59" s="31">
        <f t="shared" si="22"/>
        <v>0</v>
      </c>
      <c r="AE59" s="31">
        <f t="shared" si="36"/>
        <v>0</v>
      </c>
      <c r="AF59" s="31">
        <f t="shared" si="19"/>
        <v>0</v>
      </c>
      <c r="AI59" s="25"/>
      <c r="AJ59" s="25"/>
      <c r="AK59" s="25"/>
      <c r="AL59" s="25"/>
      <c r="AM59" s="25"/>
    </row>
    <row r="60" spans="1:39" s="35" customFormat="1" ht="12.75">
      <c r="A60" s="34">
        <v>704</v>
      </c>
      <c r="C60" s="35" t="s">
        <v>132</v>
      </c>
      <c r="D60" s="36">
        <f aca="true" t="shared" si="37" ref="D60:K60">D61+D65+D67</f>
        <v>510000000</v>
      </c>
      <c r="E60" s="36">
        <f t="shared" si="37"/>
        <v>689933974</v>
      </c>
      <c r="F60" s="36">
        <f t="shared" si="37"/>
        <v>507948200</v>
      </c>
      <c r="G60" s="36">
        <f t="shared" si="37"/>
        <v>544651324.97</v>
      </c>
      <c r="H60" s="36">
        <f t="shared" si="37"/>
        <v>712591629</v>
      </c>
      <c r="I60" s="36">
        <f t="shared" si="37"/>
        <v>705885854</v>
      </c>
      <c r="J60" s="36">
        <f t="shared" si="37"/>
        <v>608628224.3399999</v>
      </c>
      <c r="K60" s="36">
        <f t="shared" si="37"/>
        <v>727600000</v>
      </c>
      <c r="L60" s="37">
        <f aca="true" t="shared" si="38" ref="L60:L86">K60/J60*100</f>
        <v>119.54752850790213</v>
      </c>
      <c r="M60" s="36">
        <f>M61+M65+M67</f>
        <v>1262958178</v>
      </c>
      <c r="N60" s="38">
        <f t="shared" si="34"/>
        <v>0.0932465584748974</v>
      </c>
      <c r="O60" s="36">
        <f>O61+O65+O67</f>
        <v>1037500000</v>
      </c>
      <c r="P60" s="36"/>
      <c r="Q60" s="37">
        <f aca="true" t="shared" si="39" ref="Q60:Q70">O60/J60*100</f>
        <v>170.46531174676812</v>
      </c>
      <c r="R60" s="37">
        <f aca="true" t="shared" si="40" ref="R60:R70">O60/M60*100</f>
        <v>82.14840507569048</v>
      </c>
      <c r="S60" s="36">
        <f>S61+S65+S67</f>
        <v>1017500000</v>
      </c>
      <c r="T60" s="38">
        <f t="shared" si="35"/>
        <v>0.07002293197687823</v>
      </c>
      <c r="U60" s="37">
        <f aca="true" t="shared" si="41" ref="U60:U70">S60/M60*100</f>
        <v>80.56482136338802</v>
      </c>
      <c r="V60" s="37">
        <f>S60/O60*100</f>
        <v>98.0722891566265</v>
      </c>
      <c r="W60" s="36">
        <f>W61+W65+W67</f>
        <v>1065500000</v>
      </c>
      <c r="X60" s="37">
        <f>W60/S60*100</f>
        <v>104.7174447174447</v>
      </c>
      <c r="Y60" s="36">
        <f>Y61+Y65+Y67</f>
        <v>1102100000</v>
      </c>
      <c r="Z60" s="37">
        <f>Y60/W60*100</f>
        <v>103.43500703894885</v>
      </c>
      <c r="AA60" s="36">
        <f>AA61+AA65+AA67</f>
        <v>1052700000</v>
      </c>
      <c r="AB60" s="37">
        <f>AA60/Y60*100</f>
        <v>95.51764812630434</v>
      </c>
      <c r="AC60" s="31">
        <f t="shared" si="21"/>
        <v>1102792500</v>
      </c>
      <c r="AD60" s="31">
        <f t="shared" si="22"/>
        <v>1134060900</v>
      </c>
      <c r="AE60" s="31">
        <f t="shared" si="36"/>
        <v>1334946794.146</v>
      </c>
      <c r="AF60" s="31">
        <f t="shared" si="19"/>
        <v>1063287499.9999999</v>
      </c>
      <c r="AI60" s="36">
        <f>AI61+AI65+AI67</f>
        <v>1009500000</v>
      </c>
      <c r="AJ60" s="36">
        <f>AJ61+AJ65+AJ67</f>
        <v>1012500000</v>
      </c>
      <c r="AK60" s="36">
        <f>AK61+AK65+AK67</f>
        <v>1017500000</v>
      </c>
      <c r="AL60" s="36">
        <f aca="true" t="shared" si="42" ref="AL60:AM65">AJ60-AI60</f>
        <v>3000000</v>
      </c>
      <c r="AM60" s="36">
        <f t="shared" si="42"/>
        <v>5000000</v>
      </c>
    </row>
    <row r="61" spans="1:39" s="35" customFormat="1" ht="12.75">
      <c r="A61" s="34">
        <v>7044</v>
      </c>
      <c r="C61" s="35" t="s">
        <v>133</v>
      </c>
      <c r="D61" s="36">
        <f>SUM(D62:D63)</f>
        <v>119000000</v>
      </c>
      <c r="E61" s="36">
        <f>SUM(E62:E63)</f>
        <v>103225073</v>
      </c>
      <c r="F61" s="36">
        <f>SUM(F62:F63)</f>
        <v>100000000</v>
      </c>
      <c r="G61" s="36">
        <f>SUM(G62:G64)</f>
        <v>99530124</v>
      </c>
      <c r="H61" s="36">
        <f>SUM(H62:H64)</f>
        <v>105000000</v>
      </c>
      <c r="I61" s="36">
        <f>SUM(I62:I64)</f>
        <v>91000000</v>
      </c>
      <c r="J61" s="36">
        <f>SUM(J62:J64)</f>
        <v>98367246</v>
      </c>
      <c r="K61" s="36">
        <f>SUM(K62:K64)</f>
        <v>97000000</v>
      </c>
      <c r="L61" s="37">
        <f t="shared" si="38"/>
        <v>98.6100596940571</v>
      </c>
      <c r="M61" s="36">
        <f>SUM(M62:M64)</f>
        <v>97000000</v>
      </c>
      <c r="N61" s="38">
        <f t="shared" si="34"/>
        <v>0.007161690964611694</v>
      </c>
      <c r="O61" s="36">
        <f>SUM(O62:O64)</f>
        <v>94000000</v>
      </c>
      <c r="P61" s="36"/>
      <c r="Q61" s="37">
        <f t="shared" si="39"/>
        <v>95.56026403341616</v>
      </c>
      <c r="R61" s="37">
        <f t="shared" si="40"/>
        <v>96.90721649484536</v>
      </c>
      <c r="S61" s="36">
        <f>SUM(S62:S64)</f>
        <v>99000000</v>
      </c>
      <c r="T61" s="38">
        <f t="shared" si="35"/>
        <v>0.006813042030182746</v>
      </c>
      <c r="U61" s="37">
        <f t="shared" si="41"/>
        <v>102.06185567010309</v>
      </c>
      <c r="V61" s="37">
        <f>S61/O61*100</f>
        <v>105.31914893617021</v>
      </c>
      <c r="W61" s="36">
        <f>SUM(W62:W64)</f>
        <v>100000000</v>
      </c>
      <c r="X61" s="37">
        <f>W61/S61*100</f>
        <v>101.01010101010101</v>
      </c>
      <c r="Y61" s="36">
        <f>SUM(Y62:Y64)</f>
        <v>103000000</v>
      </c>
      <c r="Z61" s="37">
        <f>Y61/W61*100</f>
        <v>103</v>
      </c>
      <c r="AA61" s="36">
        <f>SUM(AA62:AA64)</f>
        <v>106000000</v>
      </c>
      <c r="AB61" s="37">
        <f>AA61/Y61*100</f>
        <v>102.9126213592233</v>
      </c>
      <c r="AC61" s="31">
        <f t="shared" si="21"/>
        <v>103499999.99999999</v>
      </c>
      <c r="AD61" s="31">
        <f t="shared" si="22"/>
        <v>105986999.99999999</v>
      </c>
      <c r="AE61" s="31">
        <f t="shared" si="36"/>
        <v>102529000</v>
      </c>
      <c r="AF61" s="31">
        <f t="shared" si="19"/>
        <v>103455000</v>
      </c>
      <c r="AI61" s="36">
        <f>SUM(AI62:AI64)</f>
        <v>96000000</v>
      </c>
      <c r="AJ61" s="36">
        <f>SUM(AJ62:AJ64)</f>
        <v>99000000</v>
      </c>
      <c r="AK61" s="36">
        <f>SUM(AK62:AK64)</f>
        <v>99000000</v>
      </c>
      <c r="AL61" s="36">
        <f t="shared" si="42"/>
        <v>3000000</v>
      </c>
      <c r="AM61" s="36">
        <f t="shared" si="42"/>
        <v>0</v>
      </c>
    </row>
    <row r="62" spans="1:39" s="40" customFormat="1" ht="12.75" customHeight="1">
      <c r="A62" s="39" t="s">
        <v>134</v>
      </c>
      <c r="C62" s="40" t="s">
        <v>135</v>
      </c>
      <c r="D62" s="31">
        <v>21000000</v>
      </c>
      <c r="E62" s="31">
        <v>15864416</v>
      </c>
      <c r="F62" s="31">
        <v>20000000</v>
      </c>
      <c r="G62" s="31">
        <v>23605206</v>
      </c>
      <c r="H62" s="31">
        <v>25000000</v>
      </c>
      <c r="I62" s="31">
        <v>25000000</v>
      </c>
      <c r="J62" s="31">
        <v>32505867</v>
      </c>
      <c r="K62" s="31">
        <v>27000000</v>
      </c>
      <c r="L62" s="41">
        <f t="shared" si="38"/>
        <v>83.06192848201835</v>
      </c>
      <c r="M62" s="31">
        <v>27000000</v>
      </c>
      <c r="N62" s="42">
        <f t="shared" si="34"/>
        <v>0.001993460371592946</v>
      </c>
      <c r="O62" s="31">
        <v>24000000</v>
      </c>
      <c r="P62" s="31"/>
      <c r="Q62" s="41">
        <f t="shared" si="39"/>
        <v>73.83282531734963</v>
      </c>
      <c r="R62" s="41">
        <f t="shared" si="40"/>
        <v>88.88888888888889</v>
      </c>
      <c r="S62" s="31">
        <f>23000000+3000000</f>
        <v>26000000</v>
      </c>
      <c r="T62" s="42">
        <f t="shared" si="35"/>
        <v>0.0017892837655025394</v>
      </c>
      <c r="U62" s="41">
        <f t="shared" si="41"/>
        <v>96.29629629629629</v>
      </c>
      <c r="V62" s="41">
        <f>S62/O62*100</f>
        <v>108.33333333333333</v>
      </c>
      <c r="W62" s="31">
        <v>24000000</v>
      </c>
      <c r="X62" s="41">
        <f>W62/S62*100</f>
        <v>92.3076923076923</v>
      </c>
      <c r="Y62" s="31">
        <v>25000000</v>
      </c>
      <c r="Z62" s="41">
        <f>Y62/W62*100</f>
        <v>104.16666666666667</v>
      </c>
      <c r="AA62" s="31">
        <f>23000000+3000000</f>
        <v>26000000</v>
      </c>
      <c r="AB62" s="41">
        <f>AA62/Y62*100</f>
        <v>104</v>
      </c>
      <c r="AC62" s="31">
        <f t="shared" si="21"/>
        <v>24839999.999999996</v>
      </c>
      <c r="AD62" s="31">
        <f t="shared" si="22"/>
        <v>25724999.999999996</v>
      </c>
      <c r="AE62" s="31">
        <f t="shared" si="36"/>
        <v>28539000</v>
      </c>
      <c r="AF62" s="31">
        <f t="shared" si="19"/>
        <v>27170000</v>
      </c>
      <c r="AI62" s="31">
        <f>23000000</f>
        <v>23000000</v>
      </c>
      <c r="AJ62" s="31">
        <f>23000000+3000000</f>
        <v>26000000</v>
      </c>
      <c r="AK62" s="31">
        <f>23000000+3000000</f>
        <v>26000000</v>
      </c>
      <c r="AL62" s="31">
        <f t="shared" si="42"/>
        <v>3000000</v>
      </c>
      <c r="AM62" s="31">
        <f t="shared" si="42"/>
        <v>0</v>
      </c>
    </row>
    <row r="63" spans="1:39" s="40" customFormat="1" ht="12.75" customHeight="1">
      <c r="A63" s="39" t="s">
        <v>136</v>
      </c>
      <c r="C63" s="40" t="s">
        <v>137</v>
      </c>
      <c r="D63" s="31">
        <v>98000000</v>
      </c>
      <c r="E63" s="31">
        <v>87360657</v>
      </c>
      <c r="F63" s="31">
        <v>80000000</v>
      </c>
      <c r="G63" s="31">
        <v>75924918</v>
      </c>
      <c r="H63" s="31">
        <v>80000000</v>
      </c>
      <c r="I63" s="31">
        <v>66000000</v>
      </c>
      <c r="J63" s="31">
        <v>65861379</v>
      </c>
      <c r="K63" s="31">
        <v>70000000</v>
      </c>
      <c r="L63" s="41">
        <f t="shared" si="38"/>
        <v>106.28383593365089</v>
      </c>
      <c r="M63" s="31">
        <v>70000000</v>
      </c>
      <c r="N63" s="42">
        <f t="shared" si="34"/>
        <v>0.005168230593018749</v>
      </c>
      <c r="O63" s="31">
        <v>70000000</v>
      </c>
      <c r="P63" s="31"/>
      <c r="Q63" s="41">
        <f t="shared" si="39"/>
        <v>106.28383593365089</v>
      </c>
      <c r="R63" s="41">
        <f t="shared" si="40"/>
        <v>100</v>
      </c>
      <c r="S63" s="31">
        <v>73000000</v>
      </c>
      <c r="T63" s="42">
        <f t="shared" si="35"/>
        <v>0.005023758264680207</v>
      </c>
      <c r="U63" s="41">
        <f t="shared" si="41"/>
        <v>104.28571428571429</v>
      </c>
      <c r="V63" s="41">
        <f>S63/O63*100</f>
        <v>104.28571428571429</v>
      </c>
      <c r="W63" s="31">
        <v>76000000</v>
      </c>
      <c r="X63" s="41">
        <f>W63/S63*100</f>
        <v>104.10958904109589</v>
      </c>
      <c r="Y63" s="31">
        <v>78000000</v>
      </c>
      <c r="Z63" s="41">
        <f>Y63/W63*100</f>
        <v>102.63157894736842</v>
      </c>
      <c r="AA63" s="31">
        <v>80000000</v>
      </c>
      <c r="AB63" s="41">
        <f>AA63/Y63*100</f>
        <v>102.56410256410255</v>
      </c>
      <c r="AC63" s="31">
        <f t="shared" si="21"/>
        <v>78660000</v>
      </c>
      <c r="AD63" s="31">
        <f t="shared" si="22"/>
        <v>80262000</v>
      </c>
      <c r="AE63" s="31">
        <f t="shared" si="36"/>
        <v>73990000</v>
      </c>
      <c r="AF63" s="31">
        <f t="shared" si="19"/>
        <v>76285000</v>
      </c>
      <c r="AI63" s="31">
        <v>73000000</v>
      </c>
      <c r="AJ63" s="31">
        <v>73000000</v>
      </c>
      <c r="AK63" s="31">
        <v>73000000</v>
      </c>
      <c r="AL63" s="31">
        <f t="shared" si="42"/>
        <v>0</v>
      </c>
      <c r="AM63" s="31">
        <f t="shared" si="42"/>
        <v>0</v>
      </c>
    </row>
    <row r="64" spans="1:39" s="40" customFormat="1" ht="12.75" customHeight="1" hidden="1">
      <c r="A64" s="39" t="s">
        <v>138</v>
      </c>
      <c r="C64" s="40" t="s">
        <v>139</v>
      </c>
      <c r="D64" s="31"/>
      <c r="E64" s="31"/>
      <c r="F64" s="31"/>
      <c r="G64" s="31"/>
      <c r="H64" s="31"/>
      <c r="I64" s="31"/>
      <c r="J64" s="31"/>
      <c r="K64" s="31"/>
      <c r="L64" s="31" t="e">
        <f t="shared" si="38"/>
        <v>#DIV/0!</v>
      </c>
      <c r="M64" s="31"/>
      <c r="N64" s="42">
        <f t="shared" si="34"/>
        <v>0</v>
      </c>
      <c r="O64" s="31"/>
      <c r="P64" s="31"/>
      <c r="Q64" s="31" t="e">
        <f t="shared" si="39"/>
        <v>#DIV/0!</v>
      </c>
      <c r="R64" s="31" t="e">
        <f t="shared" si="40"/>
        <v>#DIV/0!</v>
      </c>
      <c r="S64" s="31"/>
      <c r="T64" s="42">
        <f t="shared" si="35"/>
        <v>0</v>
      </c>
      <c r="U64" s="31" t="e">
        <f t="shared" si="41"/>
        <v>#DIV/0!</v>
      </c>
      <c r="V64" s="31" t="e">
        <f>S64/O64*100</f>
        <v>#DIV/0!</v>
      </c>
      <c r="W64" s="31"/>
      <c r="X64" s="31" t="e">
        <f>W64/S64*100</f>
        <v>#DIV/0!</v>
      </c>
      <c r="Y64" s="31"/>
      <c r="Z64" s="31" t="e">
        <f>Y64/W64*100</f>
        <v>#DIV/0!</v>
      </c>
      <c r="AA64" s="31"/>
      <c r="AB64" s="31" t="e">
        <f>AA64/Y64*100</f>
        <v>#DIV/0!</v>
      </c>
      <c r="AC64" s="31">
        <f t="shared" si="21"/>
        <v>0</v>
      </c>
      <c r="AD64" s="31">
        <f t="shared" si="22"/>
        <v>0</v>
      </c>
      <c r="AE64" s="31">
        <f t="shared" si="36"/>
        <v>0</v>
      </c>
      <c r="AF64" s="31">
        <f t="shared" si="19"/>
        <v>0</v>
      </c>
      <c r="AI64" s="31"/>
      <c r="AJ64" s="31"/>
      <c r="AK64" s="31"/>
      <c r="AL64" s="31">
        <f t="shared" si="42"/>
        <v>0</v>
      </c>
      <c r="AM64" s="31">
        <f t="shared" si="42"/>
        <v>0</v>
      </c>
    </row>
    <row r="65" spans="1:39" s="35" customFormat="1" ht="12.75">
      <c r="A65" s="34">
        <v>7046</v>
      </c>
      <c r="C65" s="35" t="s">
        <v>140</v>
      </c>
      <c r="D65" s="36">
        <f aca="true" t="shared" si="43" ref="D65:K65">D66</f>
        <v>2200000</v>
      </c>
      <c r="E65" s="36">
        <f t="shared" si="43"/>
        <v>1629958</v>
      </c>
      <c r="F65" s="36">
        <f t="shared" si="43"/>
        <v>1990000</v>
      </c>
      <c r="G65" s="36">
        <f t="shared" si="43"/>
        <v>1692818</v>
      </c>
      <c r="H65" s="36">
        <f t="shared" si="43"/>
        <v>1800000</v>
      </c>
      <c r="I65" s="36">
        <f t="shared" si="43"/>
        <v>500000</v>
      </c>
      <c r="J65" s="36">
        <f t="shared" si="43"/>
        <v>237363</v>
      </c>
      <c r="K65" s="36">
        <f t="shared" si="43"/>
        <v>1600000</v>
      </c>
      <c r="L65" s="37">
        <f t="shared" si="38"/>
        <v>674.0730442402564</v>
      </c>
      <c r="M65" s="36">
        <f>M66</f>
        <v>1600000</v>
      </c>
      <c r="N65" s="38">
        <f t="shared" si="34"/>
        <v>0.00011813098498328569</v>
      </c>
      <c r="O65" s="36">
        <f>O66</f>
        <v>0</v>
      </c>
      <c r="P65" s="36"/>
      <c r="Q65" s="37">
        <f t="shared" si="39"/>
        <v>0</v>
      </c>
      <c r="R65" s="37">
        <f t="shared" si="40"/>
        <v>0</v>
      </c>
      <c r="S65" s="36">
        <f>S66</f>
        <v>0</v>
      </c>
      <c r="T65" s="38">
        <f t="shared" si="35"/>
        <v>0</v>
      </c>
      <c r="U65" s="37">
        <f t="shared" si="41"/>
        <v>0</v>
      </c>
      <c r="V65" s="37"/>
      <c r="W65" s="36">
        <f>W66</f>
        <v>0</v>
      </c>
      <c r="X65" s="37"/>
      <c r="Y65" s="36">
        <f>Y66</f>
        <v>0</v>
      </c>
      <c r="Z65" s="37"/>
      <c r="AA65" s="36">
        <f>AA66</f>
        <v>0</v>
      </c>
      <c r="AB65" s="37"/>
      <c r="AC65" s="31">
        <f t="shared" si="21"/>
        <v>0</v>
      </c>
      <c r="AD65" s="31">
        <f t="shared" si="22"/>
        <v>0</v>
      </c>
      <c r="AE65" s="31">
        <f t="shared" si="36"/>
        <v>1691200</v>
      </c>
      <c r="AF65" s="31">
        <f t="shared" si="19"/>
        <v>0</v>
      </c>
      <c r="AI65" s="36">
        <f>AI66</f>
        <v>0</v>
      </c>
      <c r="AJ65" s="36">
        <f>AJ66</f>
        <v>0</v>
      </c>
      <c r="AK65" s="36">
        <f>AK66</f>
        <v>0</v>
      </c>
      <c r="AL65" s="36">
        <f t="shared" si="42"/>
        <v>0</v>
      </c>
      <c r="AM65" s="36">
        <f t="shared" si="42"/>
        <v>0</v>
      </c>
    </row>
    <row r="66" spans="1:39" s="40" customFormat="1" ht="12.75" customHeight="1">
      <c r="A66" s="39" t="s">
        <v>141</v>
      </c>
      <c r="C66" s="40" t="s">
        <v>142</v>
      </c>
      <c r="D66" s="31">
        <v>2200000</v>
      </c>
      <c r="E66" s="31">
        <v>1629958</v>
      </c>
      <c r="F66" s="31">
        <v>1990000</v>
      </c>
      <c r="G66" s="31">
        <v>1692818</v>
      </c>
      <c r="H66" s="31">
        <v>1800000</v>
      </c>
      <c r="I66" s="31">
        <v>500000</v>
      </c>
      <c r="J66" s="31">
        <v>237363</v>
      </c>
      <c r="K66" s="31">
        <f>500000+1100000</f>
        <v>1600000</v>
      </c>
      <c r="L66" s="41">
        <f t="shared" si="38"/>
        <v>674.0730442402564</v>
      </c>
      <c r="M66" s="31">
        <f>500000+1100000</f>
        <v>1600000</v>
      </c>
      <c r="N66" s="42">
        <f t="shared" si="34"/>
        <v>0.00011813098498328569</v>
      </c>
      <c r="O66" s="31"/>
      <c r="P66" s="31"/>
      <c r="Q66" s="41">
        <f t="shared" si="39"/>
        <v>0</v>
      </c>
      <c r="R66" s="41">
        <f t="shared" si="40"/>
        <v>0</v>
      </c>
      <c r="S66" s="31"/>
      <c r="T66" s="42">
        <f t="shared" si="35"/>
        <v>0</v>
      </c>
      <c r="U66" s="41">
        <f t="shared" si="41"/>
        <v>0</v>
      </c>
      <c r="V66" s="41"/>
      <c r="W66" s="31"/>
      <c r="X66" s="41"/>
      <c r="Y66" s="31"/>
      <c r="Z66" s="41"/>
      <c r="AA66" s="31"/>
      <c r="AB66" s="41"/>
      <c r="AC66" s="31">
        <f t="shared" si="21"/>
        <v>0</v>
      </c>
      <c r="AD66" s="31">
        <f t="shared" si="22"/>
        <v>0</v>
      </c>
      <c r="AE66" s="31">
        <f t="shared" si="36"/>
        <v>1691200</v>
      </c>
      <c r="AF66" s="31">
        <f t="shared" si="19"/>
        <v>0</v>
      </c>
      <c r="AI66" s="31"/>
      <c r="AJ66" s="31"/>
      <c r="AK66" s="31"/>
      <c r="AL66" s="31"/>
      <c r="AM66" s="31"/>
    </row>
    <row r="67" spans="1:39" s="35" customFormat="1" ht="12.75">
      <c r="A67" s="34">
        <v>7047</v>
      </c>
      <c r="C67" s="35" t="s">
        <v>143</v>
      </c>
      <c r="D67" s="36">
        <f>SUM(D69:D83)</f>
        <v>388800000</v>
      </c>
      <c r="E67" s="36">
        <f>SUM(E68:E78)</f>
        <v>585078943</v>
      </c>
      <c r="F67" s="36">
        <f>SUM(F69:F83)</f>
        <v>405958200</v>
      </c>
      <c r="G67" s="36">
        <f>SUM(G68:G78)</f>
        <v>443428382.97</v>
      </c>
      <c r="H67" s="36">
        <f>SUM(H68:H78)</f>
        <v>605791629</v>
      </c>
      <c r="I67" s="36">
        <f>SUM(I68:I78)</f>
        <v>614385854</v>
      </c>
      <c r="J67" s="36">
        <f>SUM(J68:J78)+J83</f>
        <v>510023615.34</v>
      </c>
      <c r="K67" s="36">
        <f>SUM(K68:K78)</f>
        <v>629000000</v>
      </c>
      <c r="L67" s="37">
        <f t="shared" si="38"/>
        <v>123.32762269854625</v>
      </c>
      <c r="M67" s="36">
        <f>SUM(M68:M78)+M83</f>
        <v>1164358178</v>
      </c>
      <c r="N67" s="38">
        <f t="shared" si="34"/>
        <v>0.08596673652530243</v>
      </c>
      <c r="O67" s="36">
        <f>SUM(O68:O78)+O83</f>
        <v>943500000</v>
      </c>
      <c r="P67" s="36"/>
      <c r="Q67" s="37">
        <f t="shared" si="39"/>
        <v>184.99143404781938</v>
      </c>
      <c r="R67" s="37">
        <f t="shared" si="40"/>
        <v>81.03176649822956</v>
      </c>
      <c r="S67" s="36">
        <f>SUM(S68:S78)</f>
        <v>918500000</v>
      </c>
      <c r="T67" s="38">
        <f t="shared" si="35"/>
        <v>0.06320988994669548</v>
      </c>
      <c r="U67" s="37">
        <f t="shared" si="41"/>
        <v>78.88466086764583</v>
      </c>
      <c r="V67" s="37">
        <f>S67/O67*100</f>
        <v>97.35029146793853</v>
      </c>
      <c r="W67" s="36">
        <f>SUM(W68:W78)</f>
        <v>965500000</v>
      </c>
      <c r="X67" s="37">
        <f>W67/S67*100</f>
        <v>105.11703864997277</v>
      </c>
      <c r="Y67" s="36">
        <f>SUM(Y68:Y78)</f>
        <v>999100000</v>
      </c>
      <c r="Z67" s="37">
        <f aca="true" t="shared" si="44" ref="Z67:Z82">Y67/W67*100</f>
        <v>103.48006214396686</v>
      </c>
      <c r="AA67" s="36">
        <f>SUM(AA68:AA78)</f>
        <v>946700000</v>
      </c>
      <c r="AB67" s="37">
        <f aca="true" t="shared" si="45" ref="AB67:AB82">AA67/Y67*100</f>
        <v>94.7552797517766</v>
      </c>
      <c r="AC67" s="31">
        <f t="shared" si="21"/>
        <v>999292499.9999999</v>
      </c>
      <c r="AD67" s="31">
        <f t="shared" si="22"/>
        <v>1028073899.9999999</v>
      </c>
      <c r="AE67" s="31">
        <f t="shared" si="36"/>
        <v>1230726594.146</v>
      </c>
      <c r="AF67" s="31">
        <f t="shared" si="19"/>
        <v>959832499.9999999</v>
      </c>
      <c r="AI67" s="36">
        <f>SUM(AI68:AI78)</f>
        <v>913500000</v>
      </c>
      <c r="AJ67" s="36">
        <f>SUM(AJ68:AJ78)</f>
        <v>913500000</v>
      </c>
      <c r="AK67" s="36">
        <f>SUM(AK68:AK78)</f>
        <v>918500000</v>
      </c>
      <c r="AL67" s="36">
        <f aca="true" t="shared" si="46" ref="AL67:AM70">AJ67-AI67</f>
        <v>0</v>
      </c>
      <c r="AM67" s="36">
        <f t="shared" si="46"/>
        <v>5000000</v>
      </c>
    </row>
    <row r="68" spans="1:39" s="40" customFormat="1" ht="12.75" customHeight="1">
      <c r="A68" s="39" t="s">
        <v>144</v>
      </c>
      <c r="C68" s="40" t="s">
        <v>145</v>
      </c>
      <c r="D68" s="31"/>
      <c r="E68" s="31">
        <v>122000000</v>
      </c>
      <c r="F68" s="31"/>
      <c r="G68" s="31">
        <v>129240307</v>
      </c>
      <c r="H68" s="31">
        <v>340000000</v>
      </c>
      <c r="I68" s="31">
        <v>340000000</v>
      </c>
      <c r="J68" s="31">
        <f>250872259+27739270.27</f>
        <v>278611529.27</v>
      </c>
      <c r="K68" s="31">
        <f>940000000-500000000</f>
        <v>440000000</v>
      </c>
      <c r="L68" s="41">
        <f t="shared" si="38"/>
        <v>157.925984309716</v>
      </c>
      <c r="M68" s="31">
        <f>940000000-500000000+58000000+212000000+96481878</f>
        <v>806481878</v>
      </c>
      <c r="N68" s="42">
        <f t="shared" si="34"/>
        <v>0.059544061637068775</v>
      </c>
      <c r="O68" s="31">
        <f>940000000-500000000+58000000+212000000-110000000</f>
        <v>600000000</v>
      </c>
      <c r="P68" s="31"/>
      <c r="Q68" s="41">
        <f t="shared" si="39"/>
        <v>215.35361496779456</v>
      </c>
      <c r="R68" s="41">
        <f t="shared" si="40"/>
        <v>74.39720796801339</v>
      </c>
      <c r="S68" s="31">
        <v>740000000</v>
      </c>
      <c r="T68" s="42">
        <f t="shared" si="35"/>
        <v>0.05092576871045689</v>
      </c>
      <c r="U68" s="41">
        <f t="shared" si="41"/>
        <v>91.75655649388318</v>
      </c>
      <c r="V68" s="41">
        <f>S68/O68*100</f>
        <v>123.33333333333334</v>
      </c>
      <c r="W68" s="31">
        <v>780000000</v>
      </c>
      <c r="X68" s="41">
        <f>W68/S68*100</f>
        <v>105.40540540540539</v>
      </c>
      <c r="Y68" s="31">
        <v>780000000</v>
      </c>
      <c r="Z68" s="41">
        <f t="shared" si="44"/>
        <v>100</v>
      </c>
      <c r="AA68" s="31">
        <v>720000000</v>
      </c>
      <c r="AB68" s="41">
        <f t="shared" si="45"/>
        <v>92.3076923076923</v>
      </c>
      <c r="AC68" s="31">
        <f t="shared" si="21"/>
        <v>807299999.9999999</v>
      </c>
      <c r="AD68" s="31">
        <f t="shared" si="22"/>
        <v>802619999.9999999</v>
      </c>
      <c r="AE68" s="31">
        <f t="shared" si="36"/>
        <v>852451345.046</v>
      </c>
      <c r="AF68" s="31">
        <f t="shared" si="19"/>
        <v>773300000</v>
      </c>
      <c r="AI68" s="31">
        <v>740000000</v>
      </c>
      <c r="AJ68" s="31">
        <v>740000000</v>
      </c>
      <c r="AK68" s="31">
        <v>740000000</v>
      </c>
      <c r="AL68" s="31">
        <f t="shared" si="46"/>
        <v>0</v>
      </c>
      <c r="AM68" s="31">
        <f t="shared" si="46"/>
        <v>0</v>
      </c>
    </row>
    <row r="69" spans="1:39" s="40" customFormat="1" ht="12.75" customHeight="1">
      <c r="A69" s="39" t="s">
        <v>146</v>
      </c>
      <c r="C69" s="40" t="s">
        <v>0</v>
      </c>
      <c r="D69" s="31">
        <v>7000000</v>
      </c>
      <c r="E69" s="31">
        <v>6769085</v>
      </c>
      <c r="F69" s="31">
        <v>7000000</v>
      </c>
      <c r="G69" s="31">
        <v>7079919</v>
      </c>
      <c r="H69" s="31">
        <v>16000000</v>
      </c>
      <c r="I69" s="31">
        <v>15000000</v>
      </c>
      <c r="J69" s="31">
        <v>11799718</v>
      </c>
      <c r="K69" s="31">
        <v>16000000</v>
      </c>
      <c r="L69" s="41">
        <f t="shared" si="38"/>
        <v>135.5964608645732</v>
      </c>
      <c r="M69" s="31">
        <v>16000000</v>
      </c>
      <c r="N69" s="42">
        <f t="shared" si="34"/>
        <v>0.0011813098498328568</v>
      </c>
      <c r="O69" s="31">
        <v>16000000</v>
      </c>
      <c r="P69" s="31"/>
      <c r="Q69" s="41">
        <f t="shared" si="39"/>
        <v>135.5964608645732</v>
      </c>
      <c r="R69" s="41">
        <f t="shared" si="40"/>
        <v>100</v>
      </c>
      <c r="S69" s="31">
        <v>17000000</v>
      </c>
      <c r="T69" s="42">
        <f t="shared" si="35"/>
        <v>0.001169916308213199</v>
      </c>
      <c r="U69" s="41">
        <f t="shared" si="41"/>
        <v>106.25</v>
      </c>
      <c r="V69" s="41">
        <f>S69/O69*100</f>
        <v>106.25</v>
      </c>
      <c r="W69" s="31">
        <v>20000000</v>
      </c>
      <c r="X69" s="41">
        <f>W69/S69*100</f>
        <v>117.64705882352942</v>
      </c>
      <c r="Y69" s="31">
        <v>21000000</v>
      </c>
      <c r="Z69" s="41">
        <f t="shared" si="44"/>
        <v>105</v>
      </c>
      <c r="AA69" s="31">
        <v>22000000</v>
      </c>
      <c r="AB69" s="41">
        <f t="shared" si="45"/>
        <v>104.76190476190477</v>
      </c>
      <c r="AC69" s="31">
        <f t="shared" si="21"/>
        <v>20700000</v>
      </c>
      <c r="AD69" s="31">
        <f t="shared" si="22"/>
        <v>21609000</v>
      </c>
      <c r="AE69" s="31">
        <f t="shared" si="36"/>
        <v>16912000</v>
      </c>
      <c r="AF69" s="31">
        <f t="shared" si="19"/>
        <v>17765000</v>
      </c>
      <c r="AI69" s="31">
        <v>17000000</v>
      </c>
      <c r="AJ69" s="31">
        <v>17000000</v>
      </c>
      <c r="AK69" s="31">
        <v>17000000</v>
      </c>
      <c r="AL69" s="31">
        <f t="shared" si="46"/>
        <v>0</v>
      </c>
      <c r="AM69" s="31">
        <f t="shared" si="46"/>
        <v>0</v>
      </c>
    </row>
    <row r="70" spans="1:39" s="40" customFormat="1" ht="12.75" customHeight="1" hidden="1">
      <c r="A70" s="39" t="s">
        <v>147</v>
      </c>
      <c r="C70" s="40" t="s">
        <v>148</v>
      </c>
      <c r="D70" s="31"/>
      <c r="E70" s="31"/>
      <c r="F70" s="31"/>
      <c r="G70" s="31">
        <v>0</v>
      </c>
      <c r="H70" s="31"/>
      <c r="I70" s="31"/>
      <c r="J70" s="31"/>
      <c r="K70" s="31"/>
      <c r="L70" s="41" t="e">
        <f t="shared" si="38"/>
        <v>#DIV/0!</v>
      </c>
      <c r="M70" s="31"/>
      <c r="N70" s="42">
        <f t="shared" si="34"/>
        <v>0</v>
      </c>
      <c r="O70" s="31"/>
      <c r="P70" s="31"/>
      <c r="Q70" s="41" t="e">
        <f t="shared" si="39"/>
        <v>#DIV/0!</v>
      </c>
      <c r="R70" s="41" t="e">
        <f t="shared" si="40"/>
        <v>#DIV/0!</v>
      </c>
      <c r="S70" s="31"/>
      <c r="T70" s="42">
        <f t="shared" si="35"/>
        <v>0</v>
      </c>
      <c r="U70" s="41" t="e">
        <f t="shared" si="41"/>
        <v>#DIV/0!</v>
      </c>
      <c r="V70" s="41" t="e">
        <f>S70/O70*100</f>
        <v>#DIV/0!</v>
      </c>
      <c r="W70" s="31"/>
      <c r="X70" s="41" t="e">
        <f>W70/S70*100</f>
        <v>#DIV/0!</v>
      </c>
      <c r="Y70" s="31"/>
      <c r="Z70" s="41" t="e">
        <f t="shared" si="44"/>
        <v>#DIV/0!</v>
      </c>
      <c r="AA70" s="31"/>
      <c r="AB70" s="41" t="e">
        <f t="shared" si="45"/>
        <v>#DIV/0!</v>
      </c>
      <c r="AC70" s="31">
        <f t="shared" si="21"/>
        <v>0</v>
      </c>
      <c r="AD70" s="31">
        <f t="shared" si="22"/>
        <v>0</v>
      </c>
      <c r="AE70" s="31">
        <f t="shared" si="36"/>
        <v>0</v>
      </c>
      <c r="AF70" s="31">
        <f aca="true" t="shared" si="47" ref="AF70:AF98">S70*1.045</f>
        <v>0</v>
      </c>
      <c r="AI70" s="31"/>
      <c r="AJ70" s="31"/>
      <c r="AK70" s="31"/>
      <c r="AL70" s="31">
        <f t="shared" si="46"/>
        <v>0</v>
      </c>
      <c r="AM70" s="31">
        <f t="shared" si="46"/>
        <v>0</v>
      </c>
    </row>
    <row r="71" spans="1:39" s="40" customFormat="1" ht="12.75" customHeight="1" hidden="1">
      <c r="A71" s="39" t="s">
        <v>149</v>
      </c>
      <c r="C71" s="40" t="s">
        <v>150</v>
      </c>
      <c r="D71" s="31"/>
      <c r="E71" s="31"/>
      <c r="F71" s="31"/>
      <c r="G71" s="31">
        <v>3222</v>
      </c>
      <c r="H71" s="31"/>
      <c r="I71" s="31"/>
      <c r="J71" s="31"/>
      <c r="K71" s="31"/>
      <c r="L71" s="41" t="e">
        <f t="shared" si="38"/>
        <v>#DIV/0!</v>
      </c>
      <c r="M71" s="31"/>
      <c r="N71" s="42">
        <f t="shared" si="34"/>
        <v>0</v>
      </c>
      <c r="O71" s="31"/>
      <c r="P71" s="31"/>
      <c r="Q71" s="41"/>
      <c r="R71" s="41"/>
      <c r="S71" s="31"/>
      <c r="T71" s="42">
        <f t="shared" si="35"/>
        <v>0</v>
      </c>
      <c r="U71" s="41"/>
      <c r="V71" s="41"/>
      <c r="W71" s="31"/>
      <c r="X71" s="41"/>
      <c r="Y71" s="31"/>
      <c r="Z71" s="41" t="e">
        <f t="shared" si="44"/>
        <v>#DIV/0!</v>
      </c>
      <c r="AA71" s="31"/>
      <c r="AB71" s="41" t="e">
        <f t="shared" si="45"/>
        <v>#DIV/0!</v>
      </c>
      <c r="AC71" s="31">
        <f aca="true" t="shared" si="48" ref="AC71:AC102">W71*1.035</f>
        <v>0</v>
      </c>
      <c r="AD71" s="31">
        <f aca="true" t="shared" si="49" ref="AD71:AD102">Y71*1.029</f>
        <v>0</v>
      </c>
      <c r="AE71" s="31">
        <f t="shared" si="36"/>
        <v>0</v>
      </c>
      <c r="AF71" s="31">
        <f t="shared" si="47"/>
        <v>0</v>
      </c>
      <c r="AI71" s="31"/>
      <c r="AJ71" s="31"/>
      <c r="AK71" s="31"/>
      <c r="AL71" s="31"/>
      <c r="AM71" s="31"/>
    </row>
    <row r="72" spans="1:39" s="40" customFormat="1" ht="12.75" customHeight="1">
      <c r="A72" s="39" t="s">
        <v>151</v>
      </c>
      <c r="C72" s="40" t="s">
        <v>152</v>
      </c>
      <c r="D72" s="31">
        <v>1800000</v>
      </c>
      <c r="E72" s="31">
        <v>1585404</v>
      </c>
      <c r="F72" s="31">
        <v>1500000</v>
      </c>
      <c r="G72" s="31">
        <v>2761461</v>
      </c>
      <c r="H72" s="31">
        <v>2500000</v>
      </c>
      <c r="I72" s="31">
        <v>2500000</v>
      </c>
      <c r="J72" s="31">
        <v>2618160</v>
      </c>
      <c r="K72" s="31">
        <v>3000000</v>
      </c>
      <c r="L72" s="41">
        <f t="shared" si="38"/>
        <v>114.5842882024017</v>
      </c>
      <c r="M72" s="31">
        <v>3000000</v>
      </c>
      <c r="N72" s="42">
        <f t="shared" si="34"/>
        <v>0.00022149559684366067</v>
      </c>
      <c r="O72" s="31">
        <v>3000000</v>
      </c>
      <c r="P72" s="31"/>
      <c r="Q72" s="41">
        <f>O72/J72*100</f>
        <v>114.5842882024017</v>
      </c>
      <c r="R72" s="41">
        <f>O72/M72*100</f>
        <v>100</v>
      </c>
      <c r="S72" s="31">
        <v>3000000</v>
      </c>
      <c r="T72" s="42">
        <f t="shared" si="35"/>
        <v>0.00020645581909644687</v>
      </c>
      <c r="U72" s="41">
        <f>S72/M72*100</f>
        <v>100</v>
      </c>
      <c r="V72" s="41">
        <f>S72/O72*100</f>
        <v>100</v>
      </c>
      <c r="W72" s="31">
        <v>3000000</v>
      </c>
      <c r="X72" s="41">
        <f>W72/S72*100</f>
        <v>100</v>
      </c>
      <c r="Y72" s="31">
        <v>3100000</v>
      </c>
      <c r="Z72" s="41">
        <f t="shared" si="44"/>
        <v>103.33333333333334</v>
      </c>
      <c r="AA72" s="31">
        <v>3200000</v>
      </c>
      <c r="AB72" s="41">
        <f t="shared" si="45"/>
        <v>103.2258064516129</v>
      </c>
      <c r="AC72" s="31">
        <f t="shared" si="48"/>
        <v>3104999.9999999995</v>
      </c>
      <c r="AD72" s="31">
        <f t="shared" si="49"/>
        <v>3189899.9999999995</v>
      </c>
      <c r="AE72" s="31">
        <f t="shared" si="36"/>
        <v>3171000</v>
      </c>
      <c r="AF72" s="31">
        <f t="shared" si="47"/>
        <v>3135000</v>
      </c>
      <c r="AI72" s="31">
        <v>3000000</v>
      </c>
      <c r="AJ72" s="31">
        <v>3000000</v>
      </c>
      <c r="AK72" s="31">
        <v>3000000</v>
      </c>
      <c r="AL72" s="31">
        <f>AJ72-AI72</f>
        <v>0</v>
      </c>
      <c r="AM72" s="31">
        <f>AK72-AJ72</f>
        <v>0</v>
      </c>
    </row>
    <row r="73" spans="1:39" s="40" customFormat="1" ht="12.75" customHeight="1" hidden="1">
      <c r="A73" s="39" t="s">
        <v>153</v>
      </c>
      <c r="C73" s="40" t="s">
        <v>154</v>
      </c>
      <c r="D73" s="31"/>
      <c r="E73" s="31"/>
      <c r="F73" s="31">
        <v>10000</v>
      </c>
      <c r="G73" s="31">
        <v>4958</v>
      </c>
      <c r="H73" s="31">
        <v>10000</v>
      </c>
      <c r="I73" s="31"/>
      <c r="J73" s="31"/>
      <c r="K73" s="31"/>
      <c r="L73" s="41" t="e">
        <f t="shared" si="38"/>
        <v>#DIV/0!</v>
      </c>
      <c r="M73" s="31"/>
      <c r="N73" s="42">
        <f t="shared" si="34"/>
        <v>0</v>
      </c>
      <c r="O73" s="31"/>
      <c r="P73" s="31"/>
      <c r="Q73" s="41"/>
      <c r="R73" s="41"/>
      <c r="S73" s="31"/>
      <c r="T73" s="42">
        <f t="shared" si="35"/>
        <v>0</v>
      </c>
      <c r="U73" s="41"/>
      <c r="V73" s="41"/>
      <c r="W73" s="31"/>
      <c r="X73" s="41"/>
      <c r="Y73" s="31"/>
      <c r="Z73" s="41" t="e">
        <f t="shared" si="44"/>
        <v>#DIV/0!</v>
      </c>
      <c r="AA73" s="31"/>
      <c r="AB73" s="41" t="e">
        <f t="shared" si="45"/>
        <v>#DIV/0!</v>
      </c>
      <c r="AC73" s="31">
        <f t="shared" si="48"/>
        <v>0</v>
      </c>
      <c r="AD73" s="31">
        <f t="shared" si="49"/>
        <v>0</v>
      </c>
      <c r="AE73" s="31">
        <f t="shared" si="36"/>
        <v>0</v>
      </c>
      <c r="AF73" s="31">
        <f t="shared" si="47"/>
        <v>0</v>
      </c>
      <c r="AI73" s="31"/>
      <c r="AJ73" s="31"/>
      <c r="AK73" s="31"/>
      <c r="AL73" s="31"/>
      <c r="AM73" s="31"/>
    </row>
    <row r="74" spans="1:39" s="40" customFormat="1" ht="12.75" customHeight="1">
      <c r="A74" s="39" t="s">
        <v>155</v>
      </c>
      <c r="C74" s="40" t="s">
        <v>156</v>
      </c>
      <c r="D74" s="31">
        <v>340000000</v>
      </c>
      <c r="E74" s="31">
        <v>341383750</v>
      </c>
      <c r="F74" s="31">
        <f>355720000-14700000-2551800-1020000</f>
        <v>337448200</v>
      </c>
      <c r="G74" s="31">
        <f>168280460.54+11511402.43</f>
        <v>179791862.97</v>
      </c>
      <c r="H74" s="31">
        <f>8280000+38876275</f>
        <v>47156275</v>
      </c>
      <c r="I74" s="31">
        <f>8280000+38876275</f>
        <v>47156275</v>
      </c>
      <c r="J74" s="31">
        <v>26173892</v>
      </c>
      <c r="K74" s="31">
        <v>10000000</v>
      </c>
      <c r="L74" s="41">
        <f t="shared" si="38"/>
        <v>38.206010783570136</v>
      </c>
      <c r="M74" s="31">
        <f>10000000+38876300</f>
        <v>48876300</v>
      </c>
      <c r="N74" s="42">
        <f t="shared" si="34"/>
        <v>0.003608628413336604</v>
      </c>
      <c r="O74" s="31">
        <v>26000000</v>
      </c>
      <c r="P74" s="31"/>
      <c r="Q74" s="41">
        <f aca="true" t="shared" si="50" ref="Q74:Q82">O74/J74*100</f>
        <v>99.33562803728235</v>
      </c>
      <c r="R74" s="41">
        <f aca="true" t="shared" si="51" ref="R74:R82">O74/M74*100</f>
        <v>53.19551602719519</v>
      </c>
      <c r="S74" s="31">
        <v>12000000</v>
      </c>
      <c r="T74" s="42">
        <f t="shared" si="35"/>
        <v>0.0008258232763857875</v>
      </c>
      <c r="U74" s="41">
        <f aca="true" t="shared" si="52" ref="U74:U82">S74/M74*100</f>
        <v>24.55177662793624</v>
      </c>
      <c r="V74" s="41">
        <f aca="true" t="shared" si="53" ref="V74:V82">S74/O74*100</f>
        <v>46.15384615384615</v>
      </c>
      <c r="W74" s="31">
        <v>14000000</v>
      </c>
      <c r="X74" s="41">
        <f aca="true" t="shared" si="54" ref="X74:X82">W74/S74*100</f>
        <v>116.66666666666667</v>
      </c>
      <c r="Y74" s="31">
        <v>14500000</v>
      </c>
      <c r="Z74" s="41">
        <f t="shared" si="44"/>
        <v>103.57142857142858</v>
      </c>
      <c r="AA74" s="31">
        <v>15000000</v>
      </c>
      <c r="AB74" s="41">
        <f t="shared" si="45"/>
        <v>103.44827586206897</v>
      </c>
      <c r="AC74" s="31">
        <f t="shared" si="48"/>
        <v>14489999.999999998</v>
      </c>
      <c r="AD74" s="31">
        <f t="shared" si="49"/>
        <v>14920499.999999998</v>
      </c>
      <c r="AE74" s="31">
        <f t="shared" si="36"/>
        <v>51662249.099999994</v>
      </c>
      <c r="AF74" s="31">
        <f t="shared" si="47"/>
        <v>12540000</v>
      </c>
      <c r="AI74" s="31">
        <v>12000000</v>
      </c>
      <c r="AJ74" s="31">
        <v>12000000</v>
      </c>
      <c r="AK74" s="31">
        <v>12000000</v>
      </c>
      <c r="AL74" s="31">
        <f aca="true" t="shared" si="55" ref="AL74:AL82">AJ74-AI74</f>
        <v>0</v>
      </c>
      <c r="AM74" s="31">
        <f aca="true" t="shared" si="56" ref="AM74:AM82">AK74-AJ74</f>
        <v>0</v>
      </c>
    </row>
    <row r="75" spans="1:39" s="40" customFormat="1" ht="12.75" customHeight="1" hidden="1">
      <c r="A75" s="39" t="s">
        <v>157</v>
      </c>
      <c r="C75" s="40" t="s">
        <v>158</v>
      </c>
      <c r="D75" s="31"/>
      <c r="E75" s="31"/>
      <c r="F75" s="31"/>
      <c r="G75" s="31"/>
      <c r="H75" s="31"/>
      <c r="I75" s="31"/>
      <c r="J75" s="31"/>
      <c r="K75" s="31"/>
      <c r="L75" s="41" t="e">
        <f t="shared" si="38"/>
        <v>#DIV/0!</v>
      </c>
      <c r="M75" s="31"/>
      <c r="N75" s="42">
        <f t="shared" si="34"/>
        <v>0</v>
      </c>
      <c r="O75" s="31"/>
      <c r="P75" s="31"/>
      <c r="Q75" s="41" t="e">
        <f t="shared" si="50"/>
        <v>#DIV/0!</v>
      </c>
      <c r="R75" s="41" t="e">
        <f t="shared" si="51"/>
        <v>#DIV/0!</v>
      </c>
      <c r="S75" s="31"/>
      <c r="T75" s="42">
        <f t="shared" si="35"/>
        <v>0</v>
      </c>
      <c r="U75" s="41" t="e">
        <f t="shared" si="52"/>
        <v>#DIV/0!</v>
      </c>
      <c r="V75" s="41" t="e">
        <f t="shared" si="53"/>
        <v>#DIV/0!</v>
      </c>
      <c r="W75" s="31"/>
      <c r="X75" s="41" t="e">
        <f t="shared" si="54"/>
        <v>#DIV/0!</v>
      </c>
      <c r="Y75" s="31"/>
      <c r="Z75" s="41" t="e">
        <f t="shared" si="44"/>
        <v>#DIV/0!</v>
      </c>
      <c r="AA75" s="31"/>
      <c r="AB75" s="41" t="e">
        <f t="shared" si="45"/>
        <v>#DIV/0!</v>
      </c>
      <c r="AC75" s="31">
        <f t="shared" si="48"/>
        <v>0</v>
      </c>
      <c r="AD75" s="31">
        <f t="shared" si="49"/>
        <v>0</v>
      </c>
      <c r="AE75" s="31">
        <f t="shared" si="36"/>
        <v>0</v>
      </c>
      <c r="AF75" s="31">
        <f t="shared" si="47"/>
        <v>0</v>
      </c>
      <c r="AI75" s="31"/>
      <c r="AJ75" s="31"/>
      <c r="AK75" s="31"/>
      <c r="AL75" s="31">
        <f t="shared" si="55"/>
        <v>0</v>
      </c>
      <c r="AM75" s="31">
        <f t="shared" si="56"/>
        <v>0</v>
      </c>
    </row>
    <row r="76" spans="1:39" s="40" customFormat="1" ht="12.75" customHeight="1">
      <c r="A76" s="39" t="s">
        <v>159</v>
      </c>
      <c r="C76" s="40" t="s">
        <v>1</v>
      </c>
      <c r="D76" s="31">
        <v>40000000</v>
      </c>
      <c r="E76" s="31">
        <v>33276832</v>
      </c>
      <c r="F76" s="31">
        <v>60000000</v>
      </c>
      <c r="G76" s="31">
        <v>40233417</v>
      </c>
      <c r="H76" s="31">
        <v>40000000</v>
      </c>
      <c r="I76" s="31">
        <v>45000000</v>
      </c>
      <c r="J76" s="31">
        <v>40117299</v>
      </c>
      <c r="K76" s="31">
        <f>47000000+1500000</f>
        <v>48500000</v>
      </c>
      <c r="L76" s="41">
        <f t="shared" si="38"/>
        <v>120.89547703597891</v>
      </c>
      <c r="M76" s="31">
        <f>47000000+1500000</f>
        <v>48500000</v>
      </c>
      <c r="N76" s="42">
        <f t="shared" si="34"/>
        <v>0.003580845482305847</v>
      </c>
      <c r="O76" s="31">
        <f>47000000+1500000</f>
        <v>48500000</v>
      </c>
      <c r="P76" s="31"/>
      <c r="Q76" s="41">
        <f t="shared" si="50"/>
        <v>120.89547703597891</v>
      </c>
      <c r="R76" s="41">
        <f t="shared" si="51"/>
        <v>100</v>
      </c>
      <c r="S76" s="31">
        <v>50000000</v>
      </c>
      <c r="T76" s="42">
        <f t="shared" si="35"/>
        <v>0.0034409303182741146</v>
      </c>
      <c r="U76" s="41">
        <f t="shared" si="52"/>
        <v>103.09278350515463</v>
      </c>
      <c r="V76" s="41">
        <f t="shared" si="53"/>
        <v>103.09278350515463</v>
      </c>
      <c r="W76" s="31">
        <v>52000000</v>
      </c>
      <c r="X76" s="41">
        <f t="shared" si="54"/>
        <v>104</v>
      </c>
      <c r="Y76" s="31">
        <v>54000000</v>
      </c>
      <c r="Z76" s="41">
        <f t="shared" si="44"/>
        <v>103.84615384615385</v>
      </c>
      <c r="AA76" s="31">
        <v>55000000</v>
      </c>
      <c r="AB76" s="41">
        <f t="shared" si="45"/>
        <v>101.85185185185186</v>
      </c>
      <c r="AC76" s="31">
        <f t="shared" si="48"/>
        <v>53819999.99999999</v>
      </c>
      <c r="AD76" s="31">
        <f t="shared" si="49"/>
        <v>55565999.99999999</v>
      </c>
      <c r="AE76" s="31">
        <f t="shared" si="36"/>
        <v>51264500</v>
      </c>
      <c r="AF76" s="31">
        <f t="shared" si="47"/>
        <v>52250000</v>
      </c>
      <c r="AI76" s="31">
        <v>50000000</v>
      </c>
      <c r="AJ76" s="31">
        <v>50000000</v>
      </c>
      <c r="AK76" s="31">
        <v>50000000</v>
      </c>
      <c r="AL76" s="31">
        <f t="shared" si="55"/>
        <v>0</v>
      </c>
      <c r="AM76" s="31">
        <f t="shared" si="56"/>
        <v>0</v>
      </c>
    </row>
    <row r="77" spans="1:39" s="40" customFormat="1" ht="12.75" customHeight="1">
      <c r="A77" s="39" t="s">
        <v>160</v>
      </c>
      <c r="C77" s="40" t="s">
        <v>161</v>
      </c>
      <c r="D77" s="31"/>
      <c r="E77" s="31">
        <v>6833300</v>
      </c>
      <c r="F77" s="31"/>
      <c r="G77" s="31">
        <v>3253413</v>
      </c>
      <c r="H77" s="31">
        <v>1500000</v>
      </c>
      <c r="I77" s="31">
        <v>1500000</v>
      </c>
      <c r="J77" s="31">
        <v>1336260</v>
      </c>
      <c r="K77" s="31">
        <v>1500000</v>
      </c>
      <c r="L77" s="41">
        <f t="shared" si="38"/>
        <v>112.25360334066723</v>
      </c>
      <c r="M77" s="31">
        <v>1500000</v>
      </c>
      <c r="N77" s="42">
        <f t="shared" si="34"/>
        <v>0.00011074779842183033</v>
      </c>
      <c r="O77" s="31">
        <v>5000000</v>
      </c>
      <c r="P77" s="31"/>
      <c r="Q77" s="41">
        <f t="shared" si="50"/>
        <v>374.1786778022241</v>
      </c>
      <c r="R77" s="41">
        <f t="shared" si="51"/>
        <v>333.33333333333337</v>
      </c>
      <c r="S77" s="31">
        <v>1500000</v>
      </c>
      <c r="T77" s="42">
        <f t="shared" si="35"/>
        <v>0.00010322790954822343</v>
      </c>
      <c r="U77" s="41">
        <f t="shared" si="52"/>
        <v>100</v>
      </c>
      <c r="V77" s="41">
        <f t="shared" si="53"/>
        <v>30</v>
      </c>
      <c r="W77" s="31">
        <v>1500000</v>
      </c>
      <c r="X77" s="41">
        <f t="shared" si="54"/>
        <v>100</v>
      </c>
      <c r="Y77" s="31">
        <v>1500000</v>
      </c>
      <c r="Z77" s="41">
        <f t="shared" si="44"/>
        <v>100</v>
      </c>
      <c r="AA77" s="31">
        <v>1500000</v>
      </c>
      <c r="AB77" s="41">
        <f t="shared" si="45"/>
        <v>100</v>
      </c>
      <c r="AC77" s="31">
        <f t="shared" si="48"/>
        <v>1552499.9999999998</v>
      </c>
      <c r="AD77" s="31">
        <f t="shared" si="49"/>
        <v>1543499.9999999998</v>
      </c>
      <c r="AE77" s="31">
        <f t="shared" si="36"/>
        <v>1585500</v>
      </c>
      <c r="AF77" s="31">
        <f t="shared" si="47"/>
        <v>1567500</v>
      </c>
      <c r="AI77" s="31">
        <v>1500000</v>
      </c>
      <c r="AJ77" s="31">
        <v>1500000</v>
      </c>
      <c r="AK77" s="31">
        <v>1500000</v>
      </c>
      <c r="AL77" s="31">
        <f t="shared" si="55"/>
        <v>0</v>
      </c>
      <c r="AM77" s="31">
        <f t="shared" si="56"/>
        <v>0</v>
      </c>
    </row>
    <row r="78" spans="1:39" s="40" customFormat="1" ht="12.75" customHeight="1">
      <c r="A78" s="39" t="s">
        <v>162</v>
      </c>
      <c r="C78" s="40" t="s">
        <v>163</v>
      </c>
      <c r="D78" s="31"/>
      <c r="E78" s="31">
        <f>SUM(E79:E82)</f>
        <v>73230572</v>
      </c>
      <c r="F78" s="31"/>
      <c r="G78" s="31">
        <f>SUM(G79:G82)</f>
        <v>81059823</v>
      </c>
      <c r="H78" s="31">
        <f>SUM(H79:H82)</f>
        <v>158625354</v>
      </c>
      <c r="I78" s="31">
        <f>SUM(I79:I82)</f>
        <v>163229579</v>
      </c>
      <c r="J78" s="31">
        <f>SUM(J79:J82)</f>
        <v>146540357.2</v>
      </c>
      <c r="K78" s="31">
        <f>SUM(K79:K82)</f>
        <v>110000000</v>
      </c>
      <c r="L78" s="41">
        <f t="shared" si="38"/>
        <v>75.06464574115287</v>
      </c>
      <c r="M78" s="31">
        <f>SUM(M79:M82)</f>
        <v>240000000</v>
      </c>
      <c r="N78" s="42">
        <f t="shared" si="34"/>
        <v>0.017719647747492854</v>
      </c>
      <c r="O78" s="31">
        <f>SUM(O79:O82)</f>
        <v>245000000</v>
      </c>
      <c r="P78" s="31"/>
      <c r="Q78" s="41">
        <f t="shared" si="50"/>
        <v>167.18943824165868</v>
      </c>
      <c r="R78" s="41">
        <f t="shared" si="51"/>
        <v>102.08333333333333</v>
      </c>
      <c r="S78" s="31">
        <f>SUM(S79:S82)</f>
        <v>95000000</v>
      </c>
      <c r="T78" s="42">
        <f t="shared" si="35"/>
        <v>0.006537767604720818</v>
      </c>
      <c r="U78" s="41">
        <f t="shared" si="52"/>
        <v>39.58333333333333</v>
      </c>
      <c r="V78" s="41">
        <f t="shared" si="53"/>
        <v>38.775510204081634</v>
      </c>
      <c r="W78" s="31">
        <f>SUM(W79:W82)</f>
        <v>95000000</v>
      </c>
      <c r="X78" s="41">
        <f t="shared" si="54"/>
        <v>100</v>
      </c>
      <c r="Y78" s="31">
        <f>SUM(Y79:Y82)</f>
        <v>125000000</v>
      </c>
      <c r="Z78" s="41">
        <f t="shared" si="44"/>
        <v>131.57894736842107</v>
      </c>
      <c r="AA78" s="31">
        <f>SUM(AA79:AA82)</f>
        <v>130000000</v>
      </c>
      <c r="AB78" s="41">
        <f t="shared" si="45"/>
        <v>104</v>
      </c>
      <c r="AC78" s="31">
        <f t="shared" si="48"/>
        <v>98324999.99999999</v>
      </c>
      <c r="AD78" s="31">
        <f t="shared" si="49"/>
        <v>128624999.99999999</v>
      </c>
      <c r="AE78" s="31">
        <f t="shared" si="36"/>
        <v>253680000</v>
      </c>
      <c r="AF78" s="31">
        <f t="shared" si="47"/>
        <v>99275000</v>
      </c>
      <c r="AI78" s="31">
        <f>SUM(AI79:AI82)</f>
        <v>90000000</v>
      </c>
      <c r="AJ78" s="31">
        <f>SUM(AJ79:AJ82)</f>
        <v>90000000</v>
      </c>
      <c r="AK78" s="31">
        <f>SUM(AK79:AK82)</f>
        <v>95000000</v>
      </c>
      <c r="AL78" s="31">
        <f t="shared" si="55"/>
        <v>0</v>
      </c>
      <c r="AM78" s="31">
        <f t="shared" si="56"/>
        <v>5000000</v>
      </c>
    </row>
    <row r="79" spans="1:39" s="50" customFormat="1" ht="12.75" customHeight="1">
      <c r="A79" s="48" t="s">
        <v>2</v>
      </c>
      <c r="B79" s="49"/>
      <c r="C79" s="50" t="s">
        <v>3</v>
      </c>
      <c r="D79" s="51"/>
      <c r="E79" s="51">
        <v>53292633</v>
      </c>
      <c r="F79" s="51"/>
      <c r="G79" s="51">
        <v>43675603</v>
      </c>
      <c r="H79" s="51">
        <v>55000000</v>
      </c>
      <c r="I79" s="51">
        <v>30000000</v>
      </c>
      <c r="J79" s="51">
        <v>20000000</v>
      </c>
      <c r="K79" s="51">
        <v>30000000</v>
      </c>
      <c r="L79" s="52">
        <f t="shared" si="38"/>
        <v>150</v>
      </c>
      <c r="M79" s="51">
        <f>30000000+25000000</f>
        <v>55000000</v>
      </c>
      <c r="N79" s="53">
        <f t="shared" si="34"/>
        <v>0.004060752608800446</v>
      </c>
      <c r="O79" s="51">
        <f>30000000+25000000</f>
        <v>55000000</v>
      </c>
      <c r="P79" s="51"/>
      <c r="Q79" s="52">
        <f t="shared" si="50"/>
        <v>275</v>
      </c>
      <c r="R79" s="52">
        <f t="shared" si="51"/>
        <v>100</v>
      </c>
      <c r="S79" s="51">
        <v>20000000</v>
      </c>
      <c r="T79" s="53">
        <f t="shared" si="35"/>
        <v>0.0013763721273096457</v>
      </c>
      <c r="U79" s="52">
        <f t="shared" si="52"/>
        <v>36.36363636363637</v>
      </c>
      <c r="V79" s="52">
        <f t="shared" si="53"/>
        <v>36.36363636363637</v>
      </c>
      <c r="W79" s="51">
        <v>20000000</v>
      </c>
      <c r="X79" s="52">
        <f t="shared" si="54"/>
        <v>100</v>
      </c>
      <c r="Y79" s="51">
        <v>35000000</v>
      </c>
      <c r="Z79" s="52">
        <f t="shared" si="44"/>
        <v>175</v>
      </c>
      <c r="AA79" s="51">
        <v>40000000</v>
      </c>
      <c r="AB79" s="52">
        <f t="shared" si="45"/>
        <v>114.28571428571428</v>
      </c>
      <c r="AC79" s="31">
        <f t="shared" si="48"/>
        <v>20700000</v>
      </c>
      <c r="AD79" s="31">
        <f t="shared" si="49"/>
        <v>36015000</v>
      </c>
      <c r="AE79" s="31">
        <f t="shared" si="36"/>
        <v>58135000</v>
      </c>
      <c r="AF79" s="31">
        <f t="shared" si="47"/>
        <v>20900000</v>
      </c>
      <c r="AI79" s="51">
        <v>20000000</v>
      </c>
      <c r="AJ79" s="51">
        <v>20000000</v>
      </c>
      <c r="AK79" s="51">
        <v>20000000</v>
      </c>
      <c r="AL79" s="51">
        <f t="shared" si="55"/>
        <v>0</v>
      </c>
      <c r="AM79" s="51">
        <f t="shared" si="56"/>
        <v>0</v>
      </c>
    </row>
    <row r="80" spans="1:39" s="50" customFormat="1" ht="11.25">
      <c r="A80" s="48" t="s">
        <v>4</v>
      </c>
      <c r="B80" s="49"/>
      <c r="C80" s="50" t="s">
        <v>5</v>
      </c>
      <c r="D80" s="51"/>
      <c r="E80" s="51">
        <v>19937939</v>
      </c>
      <c r="F80" s="51"/>
      <c r="G80" s="51">
        <v>24293780</v>
      </c>
      <c r="H80" s="51">
        <v>88900000</v>
      </c>
      <c r="I80" s="51">
        <v>88900000</v>
      </c>
      <c r="J80" s="51">
        <v>79567737.1</v>
      </c>
      <c r="K80" s="51">
        <v>55000000</v>
      </c>
      <c r="L80" s="52">
        <f t="shared" si="38"/>
        <v>69.12349402481625</v>
      </c>
      <c r="M80" s="51">
        <f>55000000+80000000</f>
        <v>135000000</v>
      </c>
      <c r="N80" s="53">
        <f t="shared" si="34"/>
        <v>0.00996730185796473</v>
      </c>
      <c r="O80" s="51">
        <f>55000000+80000000</f>
        <v>135000000</v>
      </c>
      <c r="P80" s="51"/>
      <c r="Q80" s="52">
        <f t="shared" si="50"/>
        <v>169.66675806091263</v>
      </c>
      <c r="R80" s="52">
        <f t="shared" si="51"/>
        <v>100</v>
      </c>
      <c r="S80" s="51">
        <v>40000000</v>
      </c>
      <c r="T80" s="53">
        <f t="shared" si="35"/>
        <v>0.0027527442546192915</v>
      </c>
      <c r="U80" s="52">
        <f t="shared" si="52"/>
        <v>29.629629629629626</v>
      </c>
      <c r="V80" s="52">
        <f t="shared" si="53"/>
        <v>29.629629629629626</v>
      </c>
      <c r="W80" s="51">
        <v>40000000</v>
      </c>
      <c r="X80" s="52">
        <f t="shared" si="54"/>
        <v>100</v>
      </c>
      <c r="Y80" s="51">
        <v>50000000</v>
      </c>
      <c r="Z80" s="52">
        <f t="shared" si="44"/>
        <v>125</v>
      </c>
      <c r="AA80" s="51">
        <v>50000000</v>
      </c>
      <c r="AB80" s="52">
        <f t="shared" si="45"/>
        <v>100</v>
      </c>
      <c r="AC80" s="31">
        <f t="shared" si="48"/>
        <v>41400000</v>
      </c>
      <c r="AD80" s="31">
        <f t="shared" si="49"/>
        <v>51449999.99999999</v>
      </c>
      <c r="AE80" s="31">
        <f t="shared" si="36"/>
        <v>142695000</v>
      </c>
      <c r="AF80" s="31">
        <f t="shared" si="47"/>
        <v>41800000</v>
      </c>
      <c r="AI80" s="51">
        <v>40000000</v>
      </c>
      <c r="AJ80" s="51">
        <v>40000000</v>
      </c>
      <c r="AK80" s="51">
        <v>40000000</v>
      </c>
      <c r="AL80" s="51">
        <f t="shared" si="55"/>
        <v>0</v>
      </c>
      <c r="AM80" s="51">
        <f t="shared" si="56"/>
        <v>0</v>
      </c>
    </row>
    <row r="81" spans="1:39" s="50" customFormat="1" ht="11.25">
      <c r="A81" s="48" t="s">
        <v>6</v>
      </c>
      <c r="B81" s="49"/>
      <c r="C81" s="50" t="s">
        <v>7</v>
      </c>
      <c r="D81" s="51"/>
      <c r="E81" s="51"/>
      <c r="F81" s="51"/>
      <c r="G81" s="51">
        <v>13090440</v>
      </c>
      <c r="H81" s="51">
        <v>9000000</v>
      </c>
      <c r="I81" s="51">
        <v>9000000</v>
      </c>
      <c r="J81" s="51">
        <v>11643044.1</v>
      </c>
      <c r="K81" s="51">
        <v>20000000</v>
      </c>
      <c r="L81" s="52">
        <f t="shared" si="38"/>
        <v>171.7763827760474</v>
      </c>
      <c r="M81" s="51">
        <f>20000000+25000000</f>
        <v>45000000</v>
      </c>
      <c r="N81" s="53">
        <f aca="true" t="shared" si="57" ref="N81:N112">M81/$M$9</f>
        <v>0.00332243395265491</v>
      </c>
      <c r="O81" s="51">
        <f>20000000+25000000</f>
        <v>45000000</v>
      </c>
      <c r="P81" s="51"/>
      <c r="Q81" s="52">
        <f t="shared" si="50"/>
        <v>386.4968612461066</v>
      </c>
      <c r="R81" s="52">
        <f t="shared" si="51"/>
        <v>100</v>
      </c>
      <c r="S81" s="51">
        <f>25000000-5000000+5000000</f>
        <v>25000000</v>
      </c>
      <c r="T81" s="53">
        <f aca="true" t="shared" si="58" ref="T81:T112">S81/$S$9</f>
        <v>0.0017204651591370573</v>
      </c>
      <c r="U81" s="52">
        <f t="shared" si="52"/>
        <v>55.55555555555556</v>
      </c>
      <c r="V81" s="52">
        <f t="shared" si="53"/>
        <v>55.55555555555556</v>
      </c>
      <c r="W81" s="51">
        <f>25000000-5000000+5000000</f>
        <v>25000000</v>
      </c>
      <c r="X81" s="52">
        <f t="shared" si="54"/>
        <v>100</v>
      </c>
      <c r="Y81" s="51">
        <f>25000000</f>
        <v>25000000</v>
      </c>
      <c r="Z81" s="52">
        <f t="shared" si="44"/>
        <v>100</v>
      </c>
      <c r="AA81" s="51">
        <f>25000000</f>
        <v>25000000</v>
      </c>
      <c r="AB81" s="52">
        <f t="shared" si="45"/>
        <v>100</v>
      </c>
      <c r="AC81" s="31">
        <f t="shared" si="48"/>
        <v>25874999.999999996</v>
      </c>
      <c r="AD81" s="31">
        <f t="shared" si="49"/>
        <v>25724999.999999996</v>
      </c>
      <c r="AE81" s="31">
        <f t="shared" si="36"/>
        <v>47565000</v>
      </c>
      <c r="AF81" s="31">
        <f t="shared" si="47"/>
        <v>26125000</v>
      </c>
      <c r="AI81" s="51">
        <f>25000000-5000000</f>
        <v>20000000</v>
      </c>
      <c r="AJ81" s="51">
        <f>25000000-5000000</f>
        <v>20000000</v>
      </c>
      <c r="AK81" s="51">
        <f>25000000-5000000+5000000</f>
        <v>25000000</v>
      </c>
      <c r="AL81" s="51">
        <f t="shared" si="55"/>
        <v>0</v>
      </c>
      <c r="AM81" s="51">
        <f t="shared" si="56"/>
        <v>5000000</v>
      </c>
    </row>
    <row r="82" spans="1:39" s="50" customFormat="1" ht="11.25">
      <c r="A82" s="48" t="s">
        <v>8</v>
      </c>
      <c r="B82" s="49"/>
      <c r="C82" s="50" t="s">
        <v>9</v>
      </c>
      <c r="D82" s="51"/>
      <c r="E82" s="51"/>
      <c r="F82" s="51"/>
      <c r="G82" s="51"/>
      <c r="H82" s="51">
        <v>5725354</v>
      </c>
      <c r="I82" s="51">
        <f>5725354+29604225</f>
        <v>35329579</v>
      </c>
      <c r="J82" s="51">
        <v>35329576</v>
      </c>
      <c r="K82" s="51">
        <v>5000000</v>
      </c>
      <c r="L82" s="52">
        <f t="shared" si="38"/>
        <v>14.15244836224471</v>
      </c>
      <c r="M82" s="51">
        <f>5000000</f>
        <v>5000000</v>
      </c>
      <c r="N82" s="53">
        <f t="shared" si="57"/>
        <v>0.00036915932807276777</v>
      </c>
      <c r="O82" s="51">
        <v>10000000</v>
      </c>
      <c r="P82" s="51"/>
      <c r="Q82" s="52">
        <f t="shared" si="50"/>
        <v>28.30489672448942</v>
      </c>
      <c r="R82" s="52">
        <f t="shared" si="51"/>
        <v>200</v>
      </c>
      <c r="S82" s="51">
        <v>10000000</v>
      </c>
      <c r="T82" s="53">
        <f t="shared" si="58"/>
        <v>0.0006881860636548229</v>
      </c>
      <c r="U82" s="52">
        <f t="shared" si="52"/>
        <v>200</v>
      </c>
      <c r="V82" s="52">
        <f t="shared" si="53"/>
        <v>100</v>
      </c>
      <c r="W82" s="51">
        <v>10000000</v>
      </c>
      <c r="X82" s="52">
        <f t="shared" si="54"/>
        <v>100</v>
      </c>
      <c r="Y82" s="51">
        <v>15000000</v>
      </c>
      <c r="Z82" s="52">
        <f t="shared" si="44"/>
        <v>150</v>
      </c>
      <c r="AA82" s="51">
        <v>15000000</v>
      </c>
      <c r="AB82" s="52">
        <f t="shared" si="45"/>
        <v>100</v>
      </c>
      <c r="AC82" s="31">
        <f t="shared" si="48"/>
        <v>10350000</v>
      </c>
      <c r="AD82" s="31">
        <f t="shared" si="49"/>
        <v>15434999.999999998</v>
      </c>
      <c r="AE82" s="31">
        <f t="shared" si="36"/>
        <v>5285000</v>
      </c>
      <c r="AF82" s="31">
        <f t="shared" si="47"/>
        <v>10450000</v>
      </c>
      <c r="AI82" s="51">
        <v>10000000</v>
      </c>
      <c r="AJ82" s="51">
        <v>10000000</v>
      </c>
      <c r="AK82" s="51">
        <v>10000000</v>
      </c>
      <c r="AL82" s="51">
        <f t="shared" si="55"/>
        <v>0</v>
      </c>
      <c r="AM82" s="51">
        <f t="shared" si="56"/>
        <v>0</v>
      </c>
    </row>
    <row r="83" spans="1:39" s="40" customFormat="1" ht="12.75" customHeight="1">
      <c r="A83" s="39" t="s">
        <v>164</v>
      </c>
      <c r="C83" s="40" t="s">
        <v>165</v>
      </c>
      <c r="D83" s="31"/>
      <c r="E83" s="31"/>
      <c r="F83" s="31"/>
      <c r="G83" s="31"/>
      <c r="H83" s="31"/>
      <c r="I83" s="31"/>
      <c r="J83" s="31">
        <v>2826399.87</v>
      </c>
      <c r="K83" s="31"/>
      <c r="L83" s="31">
        <f t="shared" si="38"/>
        <v>0</v>
      </c>
      <c r="M83" s="31"/>
      <c r="N83" s="42">
        <f t="shared" si="57"/>
        <v>0</v>
      </c>
      <c r="O83" s="31"/>
      <c r="P83" s="31"/>
      <c r="Q83" s="31"/>
      <c r="R83" s="31"/>
      <c r="S83" s="31"/>
      <c r="T83" s="42">
        <f t="shared" si="58"/>
        <v>0</v>
      </c>
      <c r="U83" s="31"/>
      <c r="V83" s="31"/>
      <c r="W83" s="31"/>
      <c r="X83" s="31"/>
      <c r="Y83" s="31"/>
      <c r="Z83" s="31"/>
      <c r="AA83" s="31"/>
      <c r="AB83" s="31"/>
      <c r="AC83" s="31">
        <f t="shared" si="48"/>
        <v>0</v>
      </c>
      <c r="AD83" s="31">
        <f t="shared" si="49"/>
        <v>0</v>
      </c>
      <c r="AE83" s="31">
        <f aca="true" t="shared" si="59" ref="AE83:AE98">M83*1.057</f>
        <v>0</v>
      </c>
      <c r="AF83" s="31">
        <f t="shared" si="47"/>
        <v>0</v>
      </c>
      <c r="AI83" s="31"/>
      <c r="AJ83" s="31"/>
      <c r="AK83" s="31"/>
      <c r="AL83" s="31"/>
      <c r="AM83" s="31"/>
    </row>
    <row r="84" spans="1:39" ht="9" customHeight="1">
      <c r="A84" s="29"/>
      <c r="D84" s="25"/>
      <c r="E84" s="25"/>
      <c r="F84" s="25"/>
      <c r="G84" s="25"/>
      <c r="H84" s="25"/>
      <c r="I84" s="25"/>
      <c r="J84" s="25"/>
      <c r="K84" s="25"/>
      <c r="L84" s="25" t="e">
        <f t="shared" si="38"/>
        <v>#DIV/0!</v>
      </c>
      <c r="M84" s="25"/>
      <c r="N84" s="26">
        <f t="shared" si="57"/>
        <v>0</v>
      </c>
      <c r="O84" s="25"/>
      <c r="P84" s="25"/>
      <c r="Q84" s="25"/>
      <c r="R84" s="25"/>
      <c r="S84" s="25"/>
      <c r="T84" s="26">
        <f t="shared" si="58"/>
        <v>0</v>
      </c>
      <c r="U84" s="25"/>
      <c r="V84" s="25"/>
      <c r="W84" s="25"/>
      <c r="X84" s="25"/>
      <c r="Y84" s="25"/>
      <c r="Z84" s="25"/>
      <c r="AA84" s="25"/>
      <c r="AB84" s="25"/>
      <c r="AC84" s="31">
        <f t="shared" si="48"/>
        <v>0</v>
      </c>
      <c r="AD84" s="31">
        <f t="shared" si="49"/>
        <v>0</v>
      </c>
      <c r="AE84" s="31">
        <f t="shared" si="59"/>
        <v>0</v>
      </c>
      <c r="AF84" s="31">
        <f t="shared" si="47"/>
        <v>0</v>
      </c>
      <c r="AI84" s="25"/>
      <c r="AJ84" s="25"/>
      <c r="AK84" s="25"/>
      <c r="AL84" s="25"/>
      <c r="AM84" s="25"/>
    </row>
    <row r="85" spans="1:39" s="35" customFormat="1" ht="12.75" hidden="1">
      <c r="A85" s="34">
        <v>706</v>
      </c>
      <c r="C85" s="35" t="s">
        <v>166</v>
      </c>
      <c r="D85" s="36"/>
      <c r="E85" s="36"/>
      <c r="F85" s="36"/>
      <c r="G85" s="36"/>
      <c r="H85" s="36"/>
      <c r="I85" s="36"/>
      <c r="J85" s="36"/>
      <c r="K85" s="36"/>
      <c r="L85" s="36" t="e">
        <f t="shared" si="38"/>
        <v>#DIV/0!</v>
      </c>
      <c r="M85" s="36"/>
      <c r="N85" s="38">
        <f t="shared" si="57"/>
        <v>0</v>
      </c>
      <c r="O85" s="36"/>
      <c r="P85" s="36"/>
      <c r="Q85" s="36" t="e">
        <f>O85/J85*100</f>
        <v>#DIV/0!</v>
      </c>
      <c r="R85" s="36" t="e">
        <f>O85/M85*100</f>
        <v>#DIV/0!</v>
      </c>
      <c r="S85" s="36"/>
      <c r="T85" s="38">
        <f t="shared" si="58"/>
        <v>0</v>
      </c>
      <c r="U85" s="36" t="e">
        <f>S85/M85*100</f>
        <v>#DIV/0!</v>
      </c>
      <c r="V85" s="36" t="e">
        <f>S85/O85*100</f>
        <v>#DIV/0!</v>
      </c>
      <c r="W85" s="36"/>
      <c r="X85" s="36" t="e">
        <f>W85/S85*100</f>
        <v>#DIV/0!</v>
      </c>
      <c r="Y85" s="36"/>
      <c r="Z85" s="36" t="e">
        <f>Y85/W85*100</f>
        <v>#DIV/0!</v>
      </c>
      <c r="AA85" s="36"/>
      <c r="AB85" s="36" t="e">
        <f>AA85/Y85*100</f>
        <v>#DIV/0!</v>
      </c>
      <c r="AC85" s="31">
        <f t="shared" si="48"/>
        <v>0</v>
      </c>
      <c r="AD85" s="31">
        <f t="shared" si="49"/>
        <v>0</v>
      </c>
      <c r="AE85" s="31">
        <f t="shared" si="59"/>
        <v>0</v>
      </c>
      <c r="AF85" s="31">
        <f t="shared" si="47"/>
        <v>0</v>
      </c>
      <c r="AI85" s="36"/>
      <c r="AJ85" s="36"/>
      <c r="AK85" s="36"/>
      <c r="AL85" s="36">
        <f aca="true" t="shared" si="60" ref="AL85:AM88">AJ85-AI85</f>
        <v>0</v>
      </c>
      <c r="AM85" s="36">
        <f t="shared" si="60"/>
        <v>0</v>
      </c>
    </row>
    <row r="86" spans="1:39" ht="12.75" hidden="1">
      <c r="A86" s="29">
        <v>7060</v>
      </c>
      <c r="C86" s="1" t="s">
        <v>167</v>
      </c>
      <c r="D86" s="25"/>
      <c r="E86" s="25"/>
      <c r="F86" s="25"/>
      <c r="G86" s="25"/>
      <c r="H86" s="25"/>
      <c r="I86" s="25"/>
      <c r="J86" s="25"/>
      <c r="K86" s="25"/>
      <c r="L86" s="25" t="e">
        <f t="shared" si="38"/>
        <v>#DIV/0!</v>
      </c>
      <c r="M86" s="25"/>
      <c r="N86" s="26">
        <f t="shared" si="57"/>
        <v>0</v>
      </c>
      <c r="O86" s="25"/>
      <c r="P86" s="25"/>
      <c r="Q86" s="25" t="e">
        <f>O86/J86*100</f>
        <v>#DIV/0!</v>
      </c>
      <c r="R86" s="25" t="e">
        <f>O86/M86*100</f>
        <v>#DIV/0!</v>
      </c>
      <c r="S86" s="25"/>
      <c r="T86" s="26">
        <f t="shared" si="58"/>
        <v>0</v>
      </c>
      <c r="U86" s="25" t="e">
        <f>S86/M86*100</f>
        <v>#DIV/0!</v>
      </c>
      <c r="V86" s="25" t="e">
        <f>S86/O86*100</f>
        <v>#DIV/0!</v>
      </c>
      <c r="W86" s="25"/>
      <c r="X86" s="25" t="e">
        <f>W86/S86*100</f>
        <v>#DIV/0!</v>
      </c>
      <c r="Y86" s="25"/>
      <c r="Z86" s="25" t="e">
        <f>Y86/W86*100</f>
        <v>#DIV/0!</v>
      </c>
      <c r="AA86" s="25"/>
      <c r="AB86" s="25" t="e">
        <f>AA86/Y86*100</f>
        <v>#DIV/0!</v>
      </c>
      <c r="AC86" s="31">
        <f t="shared" si="48"/>
        <v>0</v>
      </c>
      <c r="AD86" s="31">
        <f t="shared" si="49"/>
        <v>0</v>
      </c>
      <c r="AE86" s="31">
        <f t="shared" si="59"/>
        <v>0</v>
      </c>
      <c r="AF86" s="31">
        <f t="shared" si="47"/>
        <v>0</v>
      </c>
      <c r="AI86" s="25"/>
      <c r="AJ86" s="25"/>
      <c r="AK86" s="25"/>
      <c r="AL86" s="25">
        <f t="shared" si="60"/>
        <v>0</v>
      </c>
      <c r="AM86" s="25">
        <f t="shared" si="60"/>
        <v>0</v>
      </c>
    </row>
    <row r="87" spans="1:39" ht="12.75" hidden="1">
      <c r="A87" s="2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>
        <f t="shared" si="57"/>
        <v>0</v>
      </c>
      <c r="O87" s="25"/>
      <c r="P87" s="25"/>
      <c r="Q87" s="25" t="e">
        <f>O87/J87*100</f>
        <v>#DIV/0!</v>
      </c>
      <c r="R87" s="25"/>
      <c r="S87" s="25"/>
      <c r="T87" s="26">
        <f t="shared" si="58"/>
        <v>0</v>
      </c>
      <c r="U87" s="25" t="e">
        <f>S87/M87*100</f>
        <v>#DIV/0!</v>
      </c>
      <c r="V87" s="25" t="e">
        <f>S87/O87*100</f>
        <v>#DIV/0!</v>
      </c>
      <c r="W87" s="25"/>
      <c r="X87" s="25"/>
      <c r="Y87" s="25"/>
      <c r="Z87" s="25" t="e">
        <f>Y87/W87*100</f>
        <v>#DIV/0!</v>
      </c>
      <c r="AA87" s="25"/>
      <c r="AB87" s="25" t="e">
        <f>AA87/Y87*100</f>
        <v>#DIV/0!</v>
      </c>
      <c r="AC87" s="31">
        <f t="shared" si="48"/>
        <v>0</v>
      </c>
      <c r="AD87" s="31">
        <f t="shared" si="49"/>
        <v>0</v>
      </c>
      <c r="AE87" s="31">
        <f t="shared" si="59"/>
        <v>0</v>
      </c>
      <c r="AF87" s="31">
        <f t="shared" si="47"/>
        <v>0</v>
      </c>
      <c r="AI87" s="25"/>
      <c r="AJ87" s="25"/>
      <c r="AK87" s="25"/>
      <c r="AL87" s="25">
        <f t="shared" si="60"/>
        <v>0</v>
      </c>
      <c r="AM87" s="25">
        <f t="shared" si="60"/>
        <v>0</v>
      </c>
    </row>
    <row r="88" spans="1:39" s="27" customFormat="1" ht="15.75">
      <c r="A88" s="28">
        <v>71</v>
      </c>
      <c r="C88" s="27" t="s">
        <v>168</v>
      </c>
      <c r="D88" s="19">
        <f aca="true" t="shared" si="61" ref="D88:K88">D91+D149+D154+D160+D187</f>
        <v>2678936300</v>
      </c>
      <c r="E88" s="19">
        <f t="shared" si="61"/>
        <v>2270031367</v>
      </c>
      <c r="F88" s="19">
        <f t="shared" si="61"/>
        <v>2544552000</v>
      </c>
      <c r="G88" s="19">
        <f t="shared" si="61"/>
        <v>2501486039.08</v>
      </c>
      <c r="H88" s="19">
        <f t="shared" si="61"/>
        <v>2714104600</v>
      </c>
      <c r="I88" s="19">
        <f t="shared" si="61"/>
        <v>2643675500</v>
      </c>
      <c r="J88" s="19">
        <f t="shared" si="61"/>
        <v>2375814900.71</v>
      </c>
      <c r="K88" s="19">
        <f t="shared" si="61"/>
        <v>2625503000</v>
      </c>
      <c r="L88" s="20">
        <f>K88/J88*100</f>
        <v>110.5095771230066</v>
      </c>
      <c r="M88" s="19">
        <f>M91+M149+M154+M160+M187</f>
        <v>2948975000</v>
      </c>
      <c r="N88" s="21">
        <f t="shared" si="57"/>
        <v>0.21772832590067806</v>
      </c>
      <c r="O88" s="19">
        <f>O91+O149+O154+O160+O187</f>
        <v>3077535000</v>
      </c>
      <c r="P88" s="19"/>
      <c r="Q88" s="20">
        <f>O88/J88*100</f>
        <v>129.53597517551952</v>
      </c>
      <c r="R88" s="20">
        <f>O88/M88*100</f>
        <v>104.35948083656186</v>
      </c>
      <c r="S88" s="19">
        <f>S91+S149+S154+S160+S187</f>
        <v>2824864550</v>
      </c>
      <c r="T88" s="21">
        <f t="shared" si="58"/>
        <v>0.19440324150225527</v>
      </c>
      <c r="U88" s="20">
        <f>S88/M88*100</f>
        <v>95.79140379284328</v>
      </c>
      <c r="V88" s="20">
        <f>S88/O88*100</f>
        <v>91.78984316993957</v>
      </c>
      <c r="W88" s="19">
        <f>W91+W149+W154+W160+W187</f>
        <v>2894110000</v>
      </c>
      <c r="X88" s="20">
        <f>W88/S88*100</f>
        <v>102.4512839031521</v>
      </c>
      <c r="Y88" s="19">
        <f>Y91+Y149+Y154+Y160+Y187</f>
        <v>2945857000</v>
      </c>
      <c r="Z88" s="20">
        <f>Y88/W88*100</f>
        <v>101.78801082197981</v>
      </c>
      <c r="AA88" s="19">
        <f>AA91+AA149+AA154+AA160+AA187</f>
        <v>2991537000</v>
      </c>
      <c r="AB88" s="20">
        <f>AA88/Y88*100</f>
        <v>101.55065232290636</v>
      </c>
      <c r="AC88" s="31">
        <f t="shared" si="48"/>
        <v>2995403850</v>
      </c>
      <c r="AD88" s="31">
        <f t="shared" si="49"/>
        <v>3031286852.9999995</v>
      </c>
      <c r="AE88" s="31">
        <f t="shared" si="59"/>
        <v>3117066575</v>
      </c>
      <c r="AF88" s="31">
        <f t="shared" si="47"/>
        <v>2951983454.75</v>
      </c>
      <c r="AI88" s="19">
        <f>AI91+AI149+AI154+AI160+AI187</f>
        <v>2804087000</v>
      </c>
      <c r="AJ88" s="19">
        <f>AJ91+AJ149+AJ154+AJ160+AJ187</f>
        <v>2812087000</v>
      </c>
      <c r="AK88" s="19">
        <f>AK91+AK149+AK154+AK160+AK187</f>
        <v>2824864550</v>
      </c>
      <c r="AL88" s="19">
        <f t="shared" si="60"/>
        <v>8000000</v>
      </c>
      <c r="AM88" s="19">
        <f t="shared" si="60"/>
        <v>12777550</v>
      </c>
    </row>
    <row r="89" spans="1:39" ht="12.75">
      <c r="A89" s="29"/>
      <c r="C89" s="30" t="s">
        <v>169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>
        <f t="shared" si="57"/>
        <v>0</v>
      </c>
      <c r="O89" s="25"/>
      <c r="P89" s="25"/>
      <c r="Q89" s="25"/>
      <c r="R89" s="25"/>
      <c r="S89" s="25"/>
      <c r="T89" s="26">
        <f t="shared" si="58"/>
        <v>0</v>
      </c>
      <c r="U89" s="25"/>
      <c r="V89" s="25"/>
      <c r="W89" s="25"/>
      <c r="X89" s="25"/>
      <c r="Y89" s="25"/>
      <c r="Z89" s="25"/>
      <c r="AA89" s="25"/>
      <c r="AB89" s="25"/>
      <c r="AC89" s="31">
        <f t="shared" si="48"/>
        <v>0</v>
      </c>
      <c r="AD89" s="31">
        <f t="shared" si="49"/>
        <v>0</v>
      </c>
      <c r="AE89" s="31">
        <f t="shared" si="59"/>
        <v>0</v>
      </c>
      <c r="AF89" s="31">
        <f t="shared" si="47"/>
        <v>0</v>
      </c>
      <c r="AI89" s="25"/>
      <c r="AJ89" s="25"/>
      <c r="AK89" s="25"/>
      <c r="AL89" s="25"/>
      <c r="AM89" s="25"/>
    </row>
    <row r="90" spans="1:39" ht="9" customHeight="1">
      <c r="A90" s="2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>
        <f t="shared" si="57"/>
        <v>0</v>
      </c>
      <c r="O90" s="25"/>
      <c r="P90" s="25"/>
      <c r="Q90" s="25"/>
      <c r="R90" s="25"/>
      <c r="S90" s="25"/>
      <c r="T90" s="26">
        <f t="shared" si="58"/>
        <v>0</v>
      </c>
      <c r="U90" s="25"/>
      <c r="V90" s="25"/>
      <c r="W90" s="25"/>
      <c r="X90" s="25"/>
      <c r="Y90" s="25"/>
      <c r="Z90" s="25"/>
      <c r="AA90" s="25"/>
      <c r="AB90" s="25"/>
      <c r="AC90" s="31">
        <f t="shared" si="48"/>
        <v>0</v>
      </c>
      <c r="AD90" s="31">
        <f t="shared" si="49"/>
        <v>0</v>
      </c>
      <c r="AE90" s="31">
        <f t="shared" si="59"/>
        <v>0</v>
      </c>
      <c r="AF90" s="31">
        <f t="shared" si="47"/>
        <v>0</v>
      </c>
      <c r="AI90" s="25"/>
      <c r="AJ90" s="25"/>
      <c r="AK90" s="25"/>
      <c r="AL90" s="25"/>
      <c r="AM90" s="25"/>
    </row>
    <row r="91" spans="1:39" s="35" customFormat="1" ht="12.75">
      <c r="A91" s="34">
        <v>710</v>
      </c>
      <c r="C91" s="35" t="s">
        <v>170</v>
      </c>
      <c r="D91" s="36">
        <f>D100+D111+D115</f>
        <v>1140321800</v>
      </c>
      <c r="E91" s="36">
        <f>E93+E100+E111+E115</f>
        <v>1361297603</v>
      </c>
      <c r="F91" s="36">
        <f>F100+F111+F115</f>
        <v>1153026000</v>
      </c>
      <c r="G91" s="36">
        <f>G93+G100+G111+G115</f>
        <v>1602258442.08</v>
      </c>
      <c r="H91" s="36">
        <f>H93+H100+H111+H115</f>
        <v>1434277300</v>
      </c>
      <c r="I91" s="36">
        <f>I93+I100+I111+I115</f>
        <v>1681845500</v>
      </c>
      <c r="J91" s="36">
        <f>J93+J100+J111+J115</f>
        <v>1554941320.1599998</v>
      </c>
      <c r="K91" s="36">
        <f>K93+K100+K111+K115</f>
        <v>1632600000</v>
      </c>
      <c r="L91" s="37">
        <f>K91/J91*100</f>
        <v>104.99431578755714</v>
      </c>
      <c r="M91" s="36">
        <f>M93+M100+M111+M115</f>
        <v>1787875000</v>
      </c>
      <c r="N91" s="38">
        <f t="shared" si="57"/>
        <v>0.13200214673561994</v>
      </c>
      <c r="O91" s="36">
        <f>O93+O100+O111+O115</f>
        <v>1952135000</v>
      </c>
      <c r="P91" s="36"/>
      <c r="Q91" s="37">
        <f>O91/J91*100</f>
        <v>125.54396585198018</v>
      </c>
      <c r="R91" s="37">
        <f>O91/M91*100</f>
        <v>109.18744319373559</v>
      </c>
      <c r="S91" s="36">
        <f>S93+S100+S111+S115</f>
        <v>1814400000</v>
      </c>
      <c r="T91" s="38">
        <f t="shared" si="58"/>
        <v>0.12486447938953106</v>
      </c>
      <c r="U91" s="37">
        <f>S91/M91*100</f>
        <v>101.48360483814585</v>
      </c>
      <c r="V91" s="37">
        <f>S91/O91*100</f>
        <v>92.9443916532412</v>
      </c>
      <c r="W91" s="36">
        <f>W93+W100+W111+W115</f>
        <v>1854900000</v>
      </c>
      <c r="X91" s="37">
        <f>W91/S91*100</f>
        <v>102.23214285714286</v>
      </c>
      <c r="Y91" s="36">
        <f>Y93+Y100+Y111+Y115</f>
        <v>1890200000</v>
      </c>
      <c r="Z91" s="37">
        <f>Y91/W91*100</f>
        <v>101.90306755081136</v>
      </c>
      <c r="AA91" s="36">
        <f>AA93+AA100+AA111+AA115</f>
        <v>1918100000</v>
      </c>
      <c r="AB91" s="37">
        <f>AA91/Y91*100</f>
        <v>101.47603428208656</v>
      </c>
      <c r="AC91" s="31">
        <f t="shared" si="48"/>
        <v>1919821499.9999998</v>
      </c>
      <c r="AD91" s="31">
        <f t="shared" si="49"/>
        <v>1945015799.9999998</v>
      </c>
      <c r="AE91" s="31">
        <f t="shared" si="59"/>
        <v>1889783875</v>
      </c>
      <c r="AF91" s="31">
        <f t="shared" si="47"/>
        <v>1896047999.9999998</v>
      </c>
      <c r="AI91" s="36">
        <f>AI93+AI100+AI111+AI115</f>
        <v>1795100000</v>
      </c>
      <c r="AJ91" s="36">
        <f>AJ93+AJ100+AJ111+AJ115</f>
        <v>1803100000</v>
      </c>
      <c r="AK91" s="36">
        <f>AK93+AK100+AK111+AK115</f>
        <v>1814400000</v>
      </c>
      <c r="AL91" s="36">
        <f aca="true" t="shared" si="62" ref="AL91:AM94">AJ91-AI91</f>
        <v>8000000</v>
      </c>
      <c r="AM91" s="36">
        <f t="shared" si="62"/>
        <v>11300000</v>
      </c>
    </row>
    <row r="92" spans="1:39" s="35" customFormat="1" ht="12.75">
      <c r="A92" s="34"/>
      <c r="C92" s="35" t="s">
        <v>171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8">
        <f t="shared" si="57"/>
        <v>0</v>
      </c>
      <c r="O92" s="36"/>
      <c r="P92" s="36"/>
      <c r="Q92" s="36"/>
      <c r="R92" s="36"/>
      <c r="S92" s="36"/>
      <c r="T92" s="38">
        <f t="shared" si="58"/>
        <v>0</v>
      </c>
      <c r="U92" s="36"/>
      <c r="V92" s="36"/>
      <c r="W92" s="36"/>
      <c r="X92" s="36"/>
      <c r="Y92" s="36"/>
      <c r="Z92" s="36"/>
      <c r="AA92" s="36"/>
      <c r="AB92" s="36"/>
      <c r="AC92" s="31">
        <f t="shared" si="48"/>
        <v>0</v>
      </c>
      <c r="AD92" s="31">
        <f t="shared" si="49"/>
        <v>0</v>
      </c>
      <c r="AE92" s="31">
        <f t="shared" si="59"/>
        <v>0</v>
      </c>
      <c r="AF92" s="31">
        <f t="shared" si="47"/>
        <v>0</v>
      </c>
      <c r="AI92" s="36"/>
      <c r="AJ92" s="36"/>
      <c r="AK92" s="36"/>
      <c r="AL92" s="36">
        <f t="shared" si="62"/>
        <v>0</v>
      </c>
      <c r="AM92" s="36">
        <f t="shared" si="62"/>
        <v>0</v>
      </c>
    </row>
    <row r="93" spans="1:39" s="35" customFormat="1" ht="12.75">
      <c r="A93" s="34">
        <v>7100</v>
      </c>
      <c r="C93" s="35" t="s">
        <v>172</v>
      </c>
      <c r="D93" s="36"/>
      <c r="E93" s="36">
        <f>E94</f>
        <v>0</v>
      </c>
      <c r="F93" s="36"/>
      <c r="G93" s="36">
        <f>G94</f>
        <v>26907083.11</v>
      </c>
      <c r="H93" s="36">
        <f>H94</f>
        <v>0</v>
      </c>
      <c r="I93" s="36">
        <f>I94</f>
        <v>14272257</v>
      </c>
      <c r="J93" s="36">
        <f>J94</f>
        <v>16344740.25</v>
      </c>
      <c r="K93" s="36">
        <f>K94</f>
        <v>20000000</v>
      </c>
      <c r="L93" s="37">
        <f>K93/J93*100</f>
        <v>122.36352302998515</v>
      </c>
      <c r="M93" s="36">
        <f>M94</f>
        <v>20000000</v>
      </c>
      <c r="N93" s="38">
        <f t="shared" si="57"/>
        <v>0.001476637312291071</v>
      </c>
      <c r="O93" s="36">
        <f>O94</f>
        <v>33300000</v>
      </c>
      <c r="P93" s="36"/>
      <c r="Q93" s="37">
        <f>O93/J93*100</f>
        <v>203.73526584492524</v>
      </c>
      <c r="R93" s="37">
        <f>O93/M93*100</f>
        <v>166.5</v>
      </c>
      <c r="S93" s="36">
        <f>S94</f>
        <v>20000000</v>
      </c>
      <c r="T93" s="38">
        <f t="shared" si="58"/>
        <v>0.0013763721273096457</v>
      </c>
      <c r="U93" s="37">
        <f>S93/M93*100</f>
        <v>100</v>
      </c>
      <c r="V93" s="37">
        <f>S93/O93*100</f>
        <v>60.06006006006006</v>
      </c>
      <c r="W93" s="36">
        <f>W94</f>
        <v>20000000</v>
      </c>
      <c r="X93" s="37">
        <f>W93/S93*100</f>
        <v>100</v>
      </c>
      <c r="Y93" s="36">
        <f>Y94</f>
        <v>20000000</v>
      </c>
      <c r="Z93" s="37">
        <f>Y93/W93*100</f>
        <v>100</v>
      </c>
      <c r="AA93" s="36">
        <f>AA94</f>
        <v>20000000</v>
      </c>
      <c r="AB93" s="37">
        <f>AA93/Y93*100</f>
        <v>100</v>
      </c>
      <c r="AC93" s="31">
        <f t="shared" si="48"/>
        <v>20700000</v>
      </c>
      <c r="AD93" s="31">
        <f t="shared" si="49"/>
        <v>20580000</v>
      </c>
      <c r="AE93" s="31">
        <f t="shared" si="59"/>
        <v>21140000</v>
      </c>
      <c r="AF93" s="31">
        <f t="shared" si="47"/>
        <v>20900000</v>
      </c>
      <c r="AI93" s="36">
        <f>AI94</f>
        <v>20000000</v>
      </c>
      <c r="AJ93" s="36">
        <f>AJ94</f>
        <v>20000000</v>
      </c>
      <c r="AK93" s="36">
        <f>AK94</f>
        <v>20000000</v>
      </c>
      <c r="AL93" s="36">
        <f t="shared" si="62"/>
        <v>0</v>
      </c>
      <c r="AM93" s="36">
        <f t="shared" si="62"/>
        <v>0</v>
      </c>
    </row>
    <row r="94" spans="1:39" s="40" customFormat="1" ht="12.75" customHeight="1">
      <c r="A94" s="11">
        <v>710000</v>
      </c>
      <c r="C94" s="40" t="s">
        <v>173</v>
      </c>
      <c r="D94" s="31"/>
      <c r="E94" s="31">
        <f>SUM(E95:E98)</f>
        <v>0</v>
      </c>
      <c r="F94" s="31">
        <f>SUM(F95:F98)</f>
        <v>0</v>
      </c>
      <c r="G94" s="31">
        <f>SUM(G95:G98)</f>
        <v>26907083.11</v>
      </c>
      <c r="H94" s="31">
        <f>SUM(H95:H96)</f>
        <v>0</v>
      </c>
      <c r="I94" s="31">
        <f>SUM(I95:I96)</f>
        <v>14272257</v>
      </c>
      <c r="J94" s="31">
        <f>SUM(J95:J99)</f>
        <v>16344740.25</v>
      </c>
      <c r="K94" s="31">
        <f>SUM(K95:K98)</f>
        <v>20000000</v>
      </c>
      <c r="L94" s="41">
        <f>K94/J94*100</f>
        <v>122.36352302998515</v>
      </c>
      <c r="M94" s="31">
        <f>SUM(M95:M99)</f>
        <v>20000000</v>
      </c>
      <c r="N94" s="42">
        <f t="shared" si="57"/>
        <v>0.001476637312291071</v>
      </c>
      <c r="O94" s="31">
        <f>SUM(O95:O99)</f>
        <v>33300000</v>
      </c>
      <c r="P94" s="31"/>
      <c r="Q94" s="41">
        <f>O94/J94*100</f>
        <v>203.73526584492524</v>
      </c>
      <c r="R94" s="41">
        <f>O94/M94*100</f>
        <v>166.5</v>
      </c>
      <c r="S94" s="31">
        <f>SUM(S95:S99)</f>
        <v>20000000</v>
      </c>
      <c r="T94" s="42">
        <f t="shared" si="58"/>
        <v>0.0013763721273096457</v>
      </c>
      <c r="U94" s="41">
        <f>S94/M94*100</f>
        <v>100</v>
      </c>
      <c r="V94" s="41">
        <f>S94/O94*100</f>
        <v>60.06006006006006</v>
      </c>
      <c r="W94" s="31">
        <f>SUM(W95:W99)</f>
        <v>20000000</v>
      </c>
      <c r="X94" s="41">
        <f>W94/S94*100</f>
        <v>100</v>
      </c>
      <c r="Y94" s="31">
        <f>SUM(Y95:Y99)</f>
        <v>20000000</v>
      </c>
      <c r="Z94" s="41">
        <f>Y94/W94*100</f>
        <v>100</v>
      </c>
      <c r="AA94" s="31">
        <f>SUM(AA95:AA99)</f>
        <v>20000000</v>
      </c>
      <c r="AB94" s="41">
        <f>AA94/Y94*100</f>
        <v>100</v>
      </c>
      <c r="AC94" s="31">
        <f t="shared" si="48"/>
        <v>20700000</v>
      </c>
      <c r="AD94" s="31">
        <f t="shared" si="49"/>
        <v>20580000</v>
      </c>
      <c r="AE94" s="31">
        <f t="shared" si="59"/>
        <v>21140000</v>
      </c>
      <c r="AF94" s="31">
        <f t="shared" si="47"/>
        <v>20900000</v>
      </c>
      <c r="AI94" s="31">
        <f>SUM(AI95:AI99)</f>
        <v>20000000</v>
      </c>
      <c r="AJ94" s="31">
        <f>SUM(AJ95:AJ99)</f>
        <v>20000000</v>
      </c>
      <c r="AK94" s="31">
        <f>SUM(AK95:AK99)</f>
        <v>20000000</v>
      </c>
      <c r="AL94" s="31">
        <f t="shared" si="62"/>
        <v>0</v>
      </c>
      <c r="AM94" s="31">
        <f t="shared" si="62"/>
        <v>0</v>
      </c>
    </row>
    <row r="95" spans="1:39" s="50" customFormat="1" ht="12.75" customHeight="1">
      <c r="A95" s="48" t="s">
        <v>174</v>
      </c>
      <c r="B95" s="49"/>
      <c r="C95" s="50" t="s">
        <v>175</v>
      </c>
      <c r="D95" s="51"/>
      <c r="E95" s="51"/>
      <c r="F95" s="51"/>
      <c r="G95" s="51"/>
      <c r="H95" s="51"/>
      <c r="I95" s="51">
        <v>14272257</v>
      </c>
      <c r="J95" s="51">
        <v>14272243.85</v>
      </c>
      <c r="K95" s="51"/>
      <c r="L95" s="52">
        <f>K95/J95*100</f>
        <v>0</v>
      </c>
      <c r="M95" s="51"/>
      <c r="N95" s="53">
        <f t="shared" si="57"/>
        <v>0</v>
      </c>
      <c r="O95" s="51"/>
      <c r="P95" s="51"/>
      <c r="Q95" s="52"/>
      <c r="R95" s="52"/>
      <c r="S95" s="51"/>
      <c r="T95" s="53">
        <f t="shared" si="58"/>
        <v>0</v>
      </c>
      <c r="U95" s="52"/>
      <c r="V95" s="52"/>
      <c r="W95" s="51"/>
      <c r="X95" s="41"/>
      <c r="Y95" s="51"/>
      <c r="Z95" s="41"/>
      <c r="AA95" s="51"/>
      <c r="AB95" s="41"/>
      <c r="AC95" s="31">
        <f t="shared" si="48"/>
        <v>0</v>
      </c>
      <c r="AD95" s="31">
        <f t="shared" si="49"/>
        <v>0</v>
      </c>
      <c r="AE95" s="31">
        <f t="shared" si="59"/>
        <v>0</v>
      </c>
      <c r="AF95" s="31">
        <f t="shared" si="47"/>
        <v>0</v>
      </c>
      <c r="AI95" s="51"/>
      <c r="AJ95" s="51"/>
      <c r="AK95" s="51"/>
      <c r="AL95" s="51"/>
      <c r="AM95" s="51"/>
    </row>
    <row r="96" spans="1:39" s="50" customFormat="1" ht="11.25">
      <c r="A96" s="48" t="s">
        <v>176</v>
      </c>
      <c r="B96" s="49"/>
      <c r="C96" s="50" t="s">
        <v>177</v>
      </c>
      <c r="D96" s="51"/>
      <c r="E96" s="51"/>
      <c r="F96" s="51"/>
      <c r="G96" s="51">
        <f>2210301.2+22539460.4+1198438.51+958883</f>
        <v>26907083.11</v>
      </c>
      <c r="H96" s="51"/>
      <c r="I96" s="51"/>
      <c r="J96" s="51"/>
      <c r="K96" s="51">
        <v>20000000</v>
      </c>
      <c r="L96" s="52"/>
      <c r="M96" s="51">
        <v>20000000</v>
      </c>
      <c r="N96" s="53">
        <f t="shared" si="57"/>
        <v>0.001476637312291071</v>
      </c>
      <c r="O96" s="51"/>
      <c r="P96" s="51"/>
      <c r="Q96" s="52"/>
      <c r="R96" s="52">
        <f>O96/M96*100</f>
        <v>0</v>
      </c>
      <c r="S96" s="51"/>
      <c r="T96" s="53">
        <f t="shared" si="58"/>
        <v>0</v>
      </c>
      <c r="U96" s="52">
        <f>S96/M96*100</f>
        <v>0</v>
      </c>
      <c r="V96" s="52"/>
      <c r="W96" s="51"/>
      <c r="X96" s="41"/>
      <c r="Y96" s="51"/>
      <c r="Z96" s="41"/>
      <c r="AA96" s="51"/>
      <c r="AB96" s="41"/>
      <c r="AC96" s="31">
        <f t="shared" si="48"/>
        <v>0</v>
      </c>
      <c r="AD96" s="31">
        <f t="shared" si="49"/>
        <v>0</v>
      </c>
      <c r="AE96" s="31">
        <f t="shared" si="59"/>
        <v>21140000</v>
      </c>
      <c r="AF96" s="31">
        <f t="shared" si="47"/>
        <v>0</v>
      </c>
      <c r="AI96" s="51"/>
      <c r="AJ96" s="51"/>
      <c r="AK96" s="51"/>
      <c r="AL96" s="51"/>
      <c r="AM96" s="51"/>
    </row>
    <row r="97" spans="1:39" s="50" customFormat="1" ht="11.25">
      <c r="A97" s="48" t="s">
        <v>178</v>
      </c>
      <c r="B97" s="49"/>
      <c r="C97" s="50" t="s">
        <v>179</v>
      </c>
      <c r="D97" s="51"/>
      <c r="E97" s="51"/>
      <c r="F97" s="51"/>
      <c r="G97" s="51"/>
      <c r="H97" s="51"/>
      <c r="I97" s="51"/>
      <c r="J97" s="51">
        <v>1359346.4</v>
      </c>
      <c r="K97" s="51"/>
      <c r="L97" s="52">
        <f>K97/J97*100</f>
        <v>0</v>
      </c>
      <c r="M97" s="51"/>
      <c r="N97" s="53">
        <f t="shared" si="57"/>
        <v>0</v>
      </c>
      <c r="O97" s="51"/>
      <c r="P97" s="51"/>
      <c r="Q97" s="52"/>
      <c r="R97" s="52"/>
      <c r="S97" s="51"/>
      <c r="T97" s="53">
        <f t="shared" si="58"/>
        <v>0</v>
      </c>
      <c r="U97" s="52"/>
      <c r="V97" s="52"/>
      <c r="W97" s="51"/>
      <c r="X97" s="41"/>
      <c r="Y97" s="51"/>
      <c r="Z97" s="41"/>
      <c r="AA97" s="51"/>
      <c r="AB97" s="41"/>
      <c r="AC97" s="31">
        <f t="shared" si="48"/>
        <v>0</v>
      </c>
      <c r="AD97" s="31">
        <f t="shared" si="49"/>
        <v>0</v>
      </c>
      <c r="AE97" s="31">
        <f t="shared" si="59"/>
        <v>0</v>
      </c>
      <c r="AF97" s="31">
        <f t="shared" si="47"/>
        <v>0</v>
      </c>
      <c r="AI97" s="51"/>
      <c r="AJ97" s="51"/>
      <c r="AK97" s="51"/>
      <c r="AL97" s="51"/>
      <c r="AM97" s="51"/>
    </row>
    <row r="98" spans="1:39" s="50" customFormat="1" ht="11.25">
      <c r="A98" s="48" t="s">
        <v>180</v>
      </c>
      <c r="B98" s="49"/>
      <c r="C98" s="50" t="s">
        <v>181</v>
      </c>
      <c r="D98" s="51"/>
      <c r="E98" s="51"/>
      <c r="F98" s="51"/>
      <c r="G98" s="51"/>
      <c r="H98" s="51"/>
      <c r="I98" s="51"/>
      <c r="J98" s="51">
        <v>713150</v>
      </c>
      <c r="K98" s="51"/>
      <c r="L98" s="52">
        <f>K98/J98*100</f>
        <v>0</v>
      </c>
      <c r="M98" s="51"/>
      <c r="N98" s="53">
        <f t="shared" si="57"/>
        <v>0</v>
      </c>
      <c r="O98" s="51"/>
      <c r="P98" s="51"/>
      <c r="Q98" s="52"/>
      <c r="R98" s="52"/>
      <c r="S98" s="51"/>
      <c r="T98" s="53">
        <f t="shared" si="58"/>
        <v>0</v>
      </c>
      <c r="U98" s="52"/>
      <c r="V98" s="52"/>
      <c r="W98" s="51"/>
      <c r="X98" s="41"/>
      <c r="Y98" s="51"/>
      <c r="Z98" s="41"/>
      <c r="AA98" s="51"/>
      <c r="AB98" s="41"/>
      <c r="AC98" s="31">
        <f t="shared" si="48"/>
        <v>0</v>
      </c>
      <c r="AD98" s="31">
        <f t="shared" si="49"/>
        <v>0</v>
      </c>
      <c r="AE98" s="31">
        <f t="shared" si="59"/>
        <v>0</v>
      </c>
      <c r="AF98" s="31">
        <f t="shared" si="47"/>
        <v>0</v>
      </c>
      <c r="AI98" s="51"/>
      <c r="AJ98" s="51"/>
      <c r="AK98" s="51"/>
      <c r="AL98" s="51"/>
      <c r="AM98" s="51"/>
    </row>
    <row r="99" spans="1:39" s="50" customFormat="1" ht="11.25">
      <c r="A99" s="48" t="s">
        <v>182</v>
      </c>
      <c r="B99" s="49"/>
      <c r="C99" s="50" t="s">
        <v>183</v>
      </c>
      <c r="D99" s="51"/>
      <c r="E99" s="51"/>
      <c r="F99" s="51"/>
      <c r="G99" s="51"/>
      <c r="H99" s="51"/>
      <c r="I99" s="51"/>
      <c r="J99" s="51"/>
      <c r="K99" s="51"/>
      <c r="L99" s="52"/>
      <c r="M99" s="51"/>
      <c r="N99" s="53">
        <f t="shared" si="57"/>
        <v>0</v>
      </c>
      <c r="O99" s="51">
        <v>33300000</v>
      </c>
      <c r="P99" s="51"/>
      <c r="Q99" s="52"/>
      <c r="R99" s="52"/>
      <c r="S99" s="51">
        <v>20000000</v>
      </c>
      <c r="T99" s="53">
        <f t="shared" si="58"/>
        <v>0.0013763721273096457</v>
      </c>
      <c r="U99" s="52"/>
      <c r="V99" s="52">
        <f>S99/O99*100</f>
        <v>60.06006006006006</v>
      </c>
      <c r="W99" s="51">
        <v>20000000</v>
      </c>
      <c r="X99" s="52">
        <f>W99/S99*100</f>
        <v>100</v>
      </c>
      <c r="Y99" s="51">
        <v>20000000</v>
      </c>
      <c r="Z99" s="52">
        <f aca="true" t="shared" si="63" ref="Z99:Z107">Y99/W99*100</f>
        <v>100</v>
      </c>
      <c r="AA99" s="51">
        <v>20000000</v>
      </c>
      <c r="AB99" s="52">
        <f aca="true" t="shared" si="64" ref="AB99:AB107">AA99/Y99*100</f>
        <v>100</v>
      </c>
      <c r="AC99" s="31">
        <f t="shared" si="48"/>
        <v>20700000</v>
      </c>
      <c r="AD99" s="31">
        <f t="shared" si="49"/>
        <v>20580000</v>
      </c>
      <c r="AE99" s="31"/>
      <c r="AF99" s="31"/>
      <c r="AI99" s="51">
        <v>20000000</v>
      </c>
      <c r="AJ99" s="51">
        <v>20000000</v>
      </c>
      <c r="AK99" s="51">
        <v>20000000</v>
      </c>
      <c r="AL99" s="51">
        <f aca="true" t="shared" si="65" ref="AL99:AL107">AJ99-AI99</f>
        <v>0</v>
      </c>
      <c r="AM99" s="51">
        <f aca="true" t="shared" si="66" ref="AM99:AM107">AK99-AJ99</f>
        <v>0</v>
      </c>
    </row>
    <row r="100" spans="1:39" s="35" customFormat="1" ht="12.75">
      <c r="A100" s="34">
        <v>7101</v>
      </c>
      <c r="C100" s="35" t="s">
        <v>184</v>
      </c>
      <c r="D100" s="36">
        <f aca="true" t="shared" si="67" ref="D100:K100">D101</f>
        <v>141600000</v>
      </c>
      <c r="E100" s="36">
        <f t="shared" si="67"/>
        <v>101550180</v>
      </c>
      <c r="F100" s="36">
        <f t="shared" si="67"/>
        <v>103026000</v>
      </c>
      <c r="G100" s="36">
        <f t="shared" si="67"/>
        <v>82407841</v>
      </c>
      <c r="H100" s="36">
        <f t="shared" si="67"/>
        <v>27077300</v>
      </c>
      <c r="I100" s="36">
        <f t="shared" si="67"/>
        <v>94973243</v>
      </c>
      <c r="J100" s="36">
        <f t="shared" si="67"/>
        <v>101966516.94999999</v>
      </c>
      <c r="K100" s="36">
        <f t="shared" si="67"/>
        <v>30000000</v>
      </c>
      <c r="L100" s="37">
        <f>K100/J100*100</f>
        <v>29.421422734985363</v>
      </c>
      <c r="M100" s="36">
        <f>M101</f>
        <v>30000000</v>
      </c>
      <c r="N100" s="38">
        <f t="shared" si="57"/>
        <v>0.0022149559684366067</v>
      </c>
      <c r="O100" s="36">
        <f>O101</f>
        <v>58500000</v>
      </c>
      <c r="P100" s="36"/>
      <c r="Q100" s="37">
        <f>O100/J100*100</f>
        <v>57.37177433322146</v>
      </c>
      <c r="R100" s="37">
        <f>O100/M100*100</f>
        <v>195</v>
      </c>
      <c r="S100" s="36">
        <f>S101</f>
        <v>50500000</v>
      </c>
      <c r="T100" s="38">
        <f t="shared" si="58"/>
        <v>0.0034753396214568556</v>
      </c>
      <c r="U100" s="37">
        <f>S100/M100*100</f>
        <v>168.33333333333334</v>
      </c>
      <c r="V100" s="37">
        <f>S100/O100*100</f>
        <v>86.32478632478633</v>
      </c>
      <c r="W100" s="36">
        <f>W101</f>
        <v>50500000</v>
      </c>
      <c r="X100" s="37">
        <f>W100/S100*100</f>
        <v>100</v>
      </c>
      <c r="Y100" s="36">
        <f>Y101</f>
        <v>50500000</v>
      </c>
      <c r="Z100" s="37">
        <f t="shared" si="63"/>
        <v>100</v>
      </c>
      <c r="AA100" s="36">
        <f>AA101</f>
        <v>50500000</v>
      </c>
      <c r="AB100" s="37">
        <f t="shared" si="64"/>
        <v>100</v>
      </c>
      <c r="AC100" s="31">
        <f t="shared" si="48"/>
        <v>52267499.99999999</v>
      </c>
      <c r="AD100" s="31">
        <f t="shared" si="49"/>
        <v>51964499.99999999</v>
      </c>
      <c r="AE100" s="31">
        <f aca="true" t="shared" si="68" ref="AE100:AE131">M100*1.057</f>
        <v>31710000</v>
      </c>
      <c r="AF100" s="31">
        <f aca="true" t="shared" si="69" ref="AF100:AF131">S100*1.045</f>
        <v>52772500</v>
      </c>
      <c r="AI100" s="36">
        <f>AI101</f>
        <v>50500000</v>
      </c>
      <c r="AJ100" s="36">
        <f>AJ101</f>
        <v>50500000</v>
      </c>
      <c r="AK100" s="36">
        <f>AK101</f>
        <v>50500000</v>
      </c>
      <c r="AL100" s="36">
        <f t="shared" si="65"/>
        <v>0</v>
      </c>
      <c r="AM100" s="36">
        <f t="shared" si="66"/>
        <v>0</v>
      </c>
    </row>
    <row r="101" spans="1:39" s="40" customFormat="1" ht="12.75" customHeight="1">
      <c r="A101" s="39" t="s">
        <v>185</v>
      </c>
      <c r="C101" s="40" t="s">
        <v>186</v>
      </c>
      <c r="D101" s="31">
        <v>141600000</v>
      </c>
      <c r="E101" s="31">
        <v>101550180</v>
      </c>
      <c r="F101" s="31">
        <v>103026000</v>
      </c>
      <c r="G101" s="31">
        <f>SUM(G102:G109)</f>
        <v>82407841</v>
      </c>
      <c r="H101" s="31">
        <f>SUM(H102:H109)</f>
        <v>27077300</v>
      </c>
      <c r="I101" s="31">
        <f>SUM(I102:I109)</f>
        <v>94973243</v>
      </c>
      <c r="J101" s="31">
        <f>SUM(J102:J109)</f>
        <v>101966516.94999999</v>
      </c>
      <c r="K101" s="31">
        <f>SUM(K102:K109)</f>
        <v>30000000</v>
      </c>
      <c r="L101" s="41">
        <f>K101/J101*100</f>
        <v>29.421422734985363</v>
      </c>
      <c r="M101" s="31">
        <f>SUM(M102:M109)</f>
        <v>30000000</v>
      </c>
      <c r="N101" s="42">
        <f t="shared" si="57"/>
        <v>0.0022149559684366067</v>
      </c>
      <c r="O101" s="31">
        <f>SUM(O102:O110)</f>
        <v>58500000</v>
      </c>
      <c r="P101" s="31"/>
      <c r="Q101" s="41">
        <f>O101/J101*100</f>
        <v>57.37177433322146</v>
      </c>
      <c r="R101" s="41">
        <f>O101/M101*100</f>
        <v>195</v>
      </c>
      <c r="S101" s="31">
        <f>SUM(S102:S110)</f>
        <v>50500000</v>
      </c>
      <c r="T101" s="42">
        <f t="shared" si="58"/>
        <v>0.0034753396214568556</v>
      </c>
      <c r="U101" s="41">
        <f>S101/M101*100</f>
        <v>168.33333333333334</v>
      </c>
      <c r="V101" s="41">
        <f>S101/O101*100</f>
        <v>86.32478632478633</v>
      </c>
      <c r="W101" s="31">
        <f>SUM(W102:W110)</f>
        <v>50500000</v>
      </c>
      <c r="X101" s="41">
        <f>W101/S101*100</f>
        <v>100</v>
      </c>
      <c r="Y101" s="31">
        <f>SUM(Y102:Y110)</f>
        <v>50500000</v>
      </c>
      <c r="Z101" s="41">
        <f t="shared" si="63"/>
        <v>100</v>
      </c>
      <c r="AA101" s="31">
        <f>SUM(AA102:AA110)</f>
        <v>50500000</v>
      </c>
      <c r="AB101" s="41">
        <f t="shared" si="64"/>
        <v>100</v>
      </c>
      <c r="AC101" s="31">
        <f t="shared" si="48"/>
        <v>52267499.99999999</v>
      </c>
      <c r="AD101" s="31">
        <f t="shared" si="49"/>
        <v>51964499.99999999</v>
      </c>
      <c r="AE101" s="31">
        <f t="shared" si="68"/>
        <v>31710000</v>
      </c>
      <c r="AF101" s="31">
        <f t="shared" si="69"/>
        <v>52772500</v>
      </c>
      <c r="AI101" s="31">
        <f>SUM(AI102:AI110)</f>
        <v>50500000</v>
      </c>
      <c r="AJ101" s="31">
        <f>SUM(AJ102:AJ110)</f>
        <v>50500000</v>
      </c>
      <c r="AK101" s="31">
        <f>SUM(AK102:AK110)</f>
        <v>50500000</v>
      </c>
      <c r="AL101" s="31">
        <f t="shared" si="65"/>
        <v>0</v>
      </c>
      <c r="AM101" s="31">
        <f t="shared" si="66"/>
        <v>0</v>
      </c>
    </row>
    <row r="102" spans="1:39" s="50" customFormat="1" ht="12.75" customHeight="1">
      <c r="A102" s="48" t="s">
        <v>187</v>
      </c>
      <c r="B102" s="49"/>
      <c r="C102" s="50" t="s">
        <v>5</v>
      </c>
      <c r="D102" s="51"/>
      <c r="E102" s="51"/>
      <c r="F102" s="51"/>
      <c r="G102" s="51">
        <f>45139740+16500000</f>
        <v>61639740</v>
      </c>
      <c r="H102" s="51">
        <v>17577300</v>
      </c>
      <c r="I102" s="51">
        <v>49033493</v>
      </c>
      <c r="J102" s="51">
        <v>49033492.5</v>
      </c>
      <c r="K102" s="51">
        <v>15000000</v>
      </c>
      <c r="L102" s="52">
        <f>K102/J102*100</f>
        <v>30.59133509610803</v>
      </c>
      <c r="M102" s="51">
        <v>15000000</v>
      </c>
      <c r="N102" s="53">
        <f t="shared" si="57"/>
        <v>0.0011074779842183034</v>
      </c>
      <c r="O102" s="51">
        <f>20000000+7000000</f>
        <v>27000000</v>
      </c>
      <c r="P102" s="51"/>
      <c r="Q102" s="52">
        <f>O102/J102*100</f>
        <v>55.06440317299446</v>
      </c>
      <c r="R102" s="52">
        <f>O102/M102*100</f>
        <v>180</v>
      </c>
      <c r="S102" s="51">
        <v>20000000</v>
      </c>
      <c r="T102" s="53">
        <f t="shared" si="58"/>
        <v>0.0013763721273096457</v>
      </c>
      <c r="U102" s="52">
        <f>S102/M102*100</f>
        <v>133.33333333333331</v>
      </c>
      <c r="V102" s="52">
        <f>S102/O102*100</f>
        <v>74.07407407407408</v>
      </c>
      <c r="W102" s="51">
        <v>20000000</v>
      </c>
      <c r="X102" s="52">
        <f>W102/S102*100</f>
        <v>100</v>
      </c>
      <c r="Y102" s="51">
        <v>20000000</v>
      </c>
      <c r="Z102" s="52">
        <f t="shared" si="63"/>
        <v>100</v>
      </c>
      <c r="AA102" s="51">
        <v>20000000</v>
      </c>
      <c r="AB102" s="52">
        <f t="shared" si="64"/>
        <v>100</v>
      </c>
      <c r="AC102" s="31">
        <f t="shared" si="48"/>
        <v>20700000</v>
      </c>
      <c r="AD102" s="31">
        <f t="shared" si="49"/>
        <v>20580000</v>
      </c>
      <c r="AE102" s="31">
        <f t="shared" si="68"/>
        <v>15855000</v>
      </c>
      <c r="AF102" s="31">
        <f t="shared" si="69"/>
        <v>20900000</v>
      </c>
      <c r="AI102" s="51">
        <v>20000000</v>
      </c>
      <c r="AJ102" s="51">
        <v>20000000</v>
      </c>
      <c r="AK102" s="51">
        <v>20000000</v>
      </c>
      <c r="AL102" s="51">
        <f t="shared" si="65"/>
        <v>0</v>
      </c>
      <c r="AM102" s="51">
        <f t="shared" si="66"/>
        <v>0</v>
      </c>
    </row>
    <row r="103" spans="1:39" s="50" customFormat="1" ht="11.25">
      <c r="A103" s="48" t="s">
        <v>188</v>
      </c>
      <c r="B103" s="49"/>
      <c r="C103" s="50" t="s">
        <v>7</v>
      </c>
      <c r="D103" s="51"/>
      <c r="E103" s="51"/>
      <c r="F103" s="51"/>
      <c r="G103" s="51">
        <f>10074450+5123350</f>
        <v>15197800</v>
      </c>
      <c r="H103" s="51">
        <v>9500000</v>
      </c>
      <c r="I103" s="51">
        <v>43177750</v>
      </c>
      <c r="J103" s="51">
        <v>38514838</v>
      </c>
      <c r="K103" s="51">
        <v>15000000</v>
      </c>
      <c r="L103" s="52">
        <f>K103/J103*100</f>
        <v>38.946029060280615</v>
      </c>
      <c r="M103" s="51">
        <v>15000000</v>
      </c>
      <c r="N103" s="53">
        <f t="shared" si="57"/>
        <v>0.0011074779842183034</v>
      </c>
      <c r="O103" s="51">
        <v>27000000</v>
      </c>
      <c r="P103" s="51"/>
      <c r="Q103" s="52">
        <f>O103/J103*100</f>
        <v>70.1028523085051</v>
      </c>
      <c r="R103" s="52">
        <f>O103/M103*100</f>
        <v>180</v>
      </c>
      <c r="S103" s="51">
        <v>27000000</v>
      </c>
      <c r="T103" s="53">
        <f t="shared" si="58"/>
        <v>0.0018581023718680218</v>
      </c>
      <c r="U103" s="52">
        <f>S103/M103*100</f>
        <v>180</v>
      </c>
      <c r="V103" s="52">
        <f>S103/O103*100</f>
        <v>100</v>
      </c>
      <c r="W103" s="51">
        <v>27000000</v>
      </c>
      <c r="X103" s="52">
        <f>W103/S103*100</f>
        <v>100</v>
      </c>
      <c r="Y103" s="51">
        <v>27000000</v>
      </c>
      <c r="Z103" s="52">
        <f t="shared" si="63"/>
        <v>100</v>
      </c>
      <c r="AA103" s="51">
        <v>27000000</v>
      </c>
      <c r="AB103" s="52">
        <f t="shared" si="64"/>
        <v>100</v>
      </c>
      <c r="AC103" s="31">
        <f aca="true" t="shared" si="70" ref="AC103:AC134">W103*1.035</f>
        <v>27944999.999999996</v>
      </c>
      <c r="AD103" s="31">
        <f aca="true" t="shared" si="71" ref="AD103:AD134">Y103*1.029</f>
        <v>27782999.999999996</v>
      </c>
      <c r="AE103" s="31">
        <f t="shared" si="68"/>
        <v>15855000</v>
      </c>
      <c r="AF103" s="31">
        <f t="shared" si="69"/>
        <v>28214999.999999996</v>
      </c>
      <c r="AI103" s="51">
        <v>27000000</v>
      </c>
      <c r="AJ103" s="51">
        <v>27000000</v>
      </c>
      <c r="AK103" s="51">
        <v>27000000</v>
      </c>
      <c r="AL103" s="51">
        <f t="shared" si="65"/>
        <v>0</v>
      </c>
      <c r="AM103" s="51">
        <f t="shared" si="66"/>
        <v>0</v>
      </c>
    </row>
    <row r="104" spans="1:39" s="50" customFormat="1" ht="11.25" hidden="1">
      <c r="A104" s="48" t="s">
        <v>189</v>
      </c>
      <c r="B104" s="49"/>
      <c r="C104" s="50" t="s">
        <v>3</v>
      </c>
      <c r="D104" s="51"/>
      <c r="E104" s="51"/>
      <c r="F104" s="51"/>
      <c r="G104" s="51">
        <v>3079213</v>
      </c>
      <c r="H104" s="51"/>
      <c r="I104" s="51"/>
      <c r="J104" s="51"/>
      <c r="K104" s="51"/>
      <c r="L104" s="52"/>
      <c r="M104" s="51"/>
      <c r="N104" s="53">
        <f t="shared" si="57"/>
        <v>0</v>
      </c>
      <c r="O104" s="51"/>
      <c r="P104" s="51"/>
      <c r="Q104" s="52"/>
      <c r="R104" s="52"/>
      <c r="S104" s="51"/>
      <c r="T104" s="53">
        <f t="shared" si="58"/>
        <v>0</v>
      </c>
      <c r="U104" s="52"/>
      <c r="V104" s="52"/>
      <c r="W104" s="51"/>
      <c r="X104" s="52"/>
      <c r="Y104" s="51"/>
      <c r="Z104" s="52" t="e">
        <f t="shared" si="63"/>
        <v>#DIV/0!</v>
      </c>
      <c r="AA104" s="51"/>
      <c r="AB104" s="52" t="e">
        <f t="shared" si="64"/>
        <v>#DIV/0!</v>
      </c>
      <c r="AC104" s="31">
        <f t="shared" si="70"/>
        <v>0</v>
      </c>
      <c r="AD104" s="31">
        <f t="shared" si="71"/>
        <v>0</v>
      </c>
      <c r="AE104" s="31">
        <f t="shared" si="68"/>
        <v>0</v>
      </c>
      <c r="AF104" s="31">
        <f t="shared" si="69"/>
        <v>0</v>
      </c>
      <c r="AI104" s="51"/>
      <c r="AJ104" s="51"/>
      <c r="AK104" s="51"/>
      <c r="AL104" s="51">
        <f t="shared" si="65"/>
        <v>0</v>
      </c>
      <c r="AM104" s="51">
        <f t="shared" si="66"/>
        <v>0</v>
      </c>
    </row>
    <row r="105" spans="1:39" s="50" customFormat="1" ht="11.25" hidden="1">
      <c r="A105" s="48" t="s">
        <v>190</v>
      </c>
      <c r="B105" s="49"/>
      <c r="C105" s="50" t="s">
        <v>191</v>
      </c>
      <c r="D105" s="51"/>
      <c r="E105" s="51"/>
      <c r="F105" s="51"/>
      <c r="G105" s="51"/>
      <c r="H105" s="51"/>
      <c r="I105" s="51"/>
      <c r="J105" s="51"/>
      <c r="K105" s="51"/>
      <c r="L105" s="52"/>
      <c r="M105" s="51"/>
      <c r="N105" s="53">
        <f t="shared" si="57"/>
        <v>0</v>
      </c>
      <c r="O105" s="51"/>
      <c r="P105" s="51"/>
      <c r="Q105" s="52"/>
      <c r="R105" s="52"/>
      <c r="S105" s="51"/>
      <c r="T105" s="53">
        <f t="shared" si="58"/>
        <v>0</v>
      </c>
      <c r="U105" s="52"/>
      <c r="V105" s="52"/>
      <c r="W105" s="51"/>
      <c r="X105" s="52"/>
      <c r="Y105" s="51"/>
      <c r="Z105" s="52" t="e">
        <f t="shared" si="63"/>
        <v>#DIV/0!</v>
      </c>
      <c r="AA105" s="51"/>
      <c r="AB105" s="52" t="e">
        <f t="shared" si="64"/>
        <v>#DIV/0!</v>
      </c>
      <c r="AC105" s="31">
        <f t="shared" si="70"/>
        <v>0</v>
      </c>
      <c r="AD105" s="31">
        <f t="shared" si="71"/>
        <v>0</v>
      </c>
      <c r="AE105" s="31">
        <f t="shared" si="68"/>
        <v>0</v>
      </c>
      <c r="AF105" s="31">
        <f t="shared" si="69"/>
        <v>0</v>
      </c>
      <c r="AI105" s="51"/>
      <c r="AJ105" s="51"/>
      <c r="AK105" s="51"/>
      <c r="AL105" s="51">
        <f t="shared" si="65"/>
        <v>0</v>
      </c>
      <c r="AM105" s="51">
        <f t="shared" si="66"/>
        <v>0</v>
      </c>
    </row>
    <row r="106" spans="1:39" s="50" customFormat="1" ht="11.25">
      <c r="A106" s="48" t="s">
        <v>192</v>
      </c>
      <c r="B106" s="49"/>
      <c r="C106" s="50" t="s">
        <v>193</v>
      </c>
      <c r="D106" s="51"/>
      <c r="E106" s="51"/>
      <c r="F106" s="51"/>
      <c r="G106" s="51">
        <v>2491088</v>
      </c>
      <c r="H106" s="51"/>
      <c r="I106" s="51">
        <v>2762000</v>
      </c>
      <c r="J106" s="51">
        <f>2366204.35+51940</f>
        <v>2418144.35</v>
      </c>
      <c r="K106" s="51"/>
      <c r="L106" s="52"/>
      <c r="M106" s="51"/>
      <c r="N106" s="53">
        <f t="shared" si="57"/>
        <v>0</v>
      </c>
      <c r="O106" s="51">
        <v>2400000</v>
      </c>
      <c r="P106" s="51"/>
      <c r="Q106" s="52">
        <f>O106/J106*100</f>
        <v>99.24965811077408</v>
      </c>
      <c r="R106" s="52"/>
      <c r="S106" s="51">
        <v>2400000</v>
      </c>
      <c r="T106" s="53">
        <f t="shared" si="58"/>
        <v>0.0001651646552771575</v>
      </c>
      <c r="U106" s="52"/>
      <c r="V106" s="52">
        <f>S106/O106*100</f>
        <v>100</v>
      </c>
      <c r="W106" s="51">
        <v>2400000</v>
      </c>
      <c r="X106" s="52">
        <f>W106/S106*100</f>
        <v>100</v>
      </c>
      <c r="Y106" s="51">
        <v>2400000</v>
      </c>
      <c r="Z106" s="52">
        <f t="shared" si="63"/>
        <v>100</v>
      </c>
      <c r="AA106" s="51">
        <v>2400000</v>
      </c>
      <c r="AB106" s="52">
        <f t="shared" si="64"/>
        <v>100</v>
      </c>
      <c r="AC106" s="31">
        <f t="shared" si="70"/>
        <v>2484000</v>
      </c>
      <c r="AD106" s="31">
        <f t="shared" si="71"/>
        <v>2469600</v>
      </c>
      <c r="AE106" s="31">
        <f t="shared" si="68"/>
        <v>0</v>
      </c>
      <c r="AF106" s="31">
        <f t="shared" si="69"/>
        <v>2508000</v>
      </c>
      <c r="AI106" s="51">
        <v>2400000</v>
      </c>
      <c r="AJ106" s="51">
        <v>2400000</v>
      </c>
      <c r="AK106" s="51">
        <v>2400000</v>
      </c>
      <c r="AL106" s="51">
        <f t="shared" si="65"/>
        <v>0</v>
      </c>
      <c r="AM106" s="51">
        <f t="shared" si="66"/>
        <v>0</v>
      </c>
    </row>
    <row r="107" spans="1:39" s="50" customFormat="1" ht="11.25" hidden="1">
      <c r="A107" s="48" t="s">
        <v>194</v>
      </c>
      <c r="B107" s="49"/>
      <c r="C107" s="50" t="s">
        <v>195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3">
        <f t="shared" si="57"/>
        <v>0</v>
      </c>
      <c r="O107" s="51"/>
      <c r="P107" s="51"/>
      <c r="Q107" s="52"/>
      <c r="R107" s="51"/>
      <c r="S107" s="51"/>
      <c r="T107" s="53">
        <f t="shared" si="58"/>
        <v>0</v>
      </c>
      <c r="U107" s="51"/>
      <c r="V107" s="52"/>
      <c r="W107" s="51"/>
      <c r="X107" s="52"/>
      <c r="Y107" s="51"/>
      <c r="Z107" s="52" t="e">
        <f t="shared" si="63"/>
        <v>#DIV/0!</v>
      </c>
      <c r="AA107" s="51"/>
      <c r="AB107" s="52" t="e">
        <f t="shared" si="64"/>
        <v>#DIV/0!</v>
      </c>
      <c r="AC107" s="31">
        <f t="shared" si="70"/>
        <v>0</v>
      </c>
      <c r="AD107" s="31">
        <f t="shared" si="71"/>
        <v>0</v>
      </c>
      <c r="AE107" s="31">
        <f t="shared" si="68"/>
        <v>0</v>
      </c>
      <c r="AF107" s="31">
        <f t="shared" si="69"/>
        <v>0</v>
      </c>
      <c r="AI107" s="51"/>
      <c r="AJ107" s="51"/>
      <c r="AK107" s="51"/>
      <c r="AL107" s="51">
        <f t="shared" si="65"/>
        <v>0</v>
      </c>
      <c r="AM107" s="51">
        <f t="shared" si="66"/>
        <v>0</v>
      </c>
    </row>
    <row r="108" spans="1:39" s="50" customFormat="1" ht="11.25">
      <c r="A108" s="48" t="s">
        <v>196</v>
      </c>
      <c r="B108" s="49"/>
      <c r="C108" s="50" t="s">
        <v>197</v>
      </c>
      <c r="D108" s="51"/>
      <c r="E108" s="51"/>
      <c r="F108" s="51"/>
      <c r="G108" s="51"/>
      <c r="H108" s="51"/>
      <c r="I108" s="51"/>
      <c r="J108" s="51">
        <v>12000042.1</v>
      </c>
      <c r="K108" s="51"/>
      <c r="L108" s="51"/>
      <c r="M108" s="51"/>
      <c r="N108" s="53">
        <f t="shared" si="57"/>
        <v>0</v>
      </c>
      <c r="O108" s="51"/>
      <c r="P108" s="51"/>
      <c r="Q108" s="52"/>
      <c r="R108" s="51"/>
      <c r="S108" s="51"/>
      <c r="T108" s="53">
        <f t="shared" si="58"/>
        <v>0</v>
      </c>
      <c r="U108" s="51"/>
      <c r="V108" s="52"/>
      <c r="W108" s="51"/>
      <c r="X108" s="52"/>
      <c r="Y108" s="51"/>
      <c r="Z108" s="52"/>
      <c r="AA108" s="51"/>
      <c r="AB108" s="52"/>
      <c r="AC108" s="31">
        <f t="shared" si="70"/>
        <v>0</v>
      </c>
      <c r="AD108" s="31">
        <f t="shared" si="71"/>
        <v>0</v>
      </c>
      <c r="AE108" s="31">
        <f t="shared" si="68"/>
        <v>0</v>
      </c>
      <c r="AF108" s="31">
        <f t="shared" si="69"/>
        <v>0</v>
      </c>
      <c r="AI108" s="51"/>
      <c r="AJ108" s="51"/>
      <c r="AK108" s="51"/>
      <c r="AL108" s="51"/>
      <c r="AM108" s="51"/>
    </row>
    <row r="109" spans="1:39" s="50" customFormat="1" ht="11.25">
      <c r="A109" s="48" t="s">
        <v>198</v>
      </c>
      <c r="B109" s="49"/>
      <c r="C109" s="50" t="s">
        <v>199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3">
        <f t="shared" si="57"/>
        <v>0</v>
      </c>
      <c r="O109" s="51">
        <v>1000000</v>
      </c>
      <c r="P109" s="51"/>
      <c r="Q109" s="52"/>
      <c r="R109" s="51"/>
      <c r="S109" s="51"/>
      <c r="T109" s="53">
        <f t="shared" si="58"/>
        <v>0</v>
      </c>
      <c r="U109" s="51"/>
      <c r="V109" s="52">
        <f>S109/O109*100</f>
        <v>0</v>
      </c>
      <c r="W109" s="51"/>
      <c r="X109" s="52"/>
      <c r="Y109" s="51"/>
      <c r="Z109" s="52"/>
      <c r="AA109" s="51"/>
      <c r="AB109" s="52"/>
      <c r="AC109" s="31">
        <f t="shared" si="70"/>
        <v>0</v>
      </c>
      <c r="AD109" s="31">
        <f t="shared" si="71"/>
        <v>0</v>
      </c>
      <c r="AE109" s="31">
        <f t="shared" si="68"/>
        <v>0</v>
      </c>
      <c r="AF109" s="31">
        <f t="shared" si="69"/>
        <v>0</v>
      </c>
      <c r="AI109" s="51"/>
      <c r="AJ109" s="51"/>
      <c r="AK109" s="51"/>
      <c r="AL109" s="51"/>
      <c r="AM109" s="51"/>
    </row>
    <row r="110" spans="1:39" s="50" customFormat="1" ht="11.25">
      <c r="A110" s="48" t="s">
        <v>200</v>
      </c>
      <c r="B110" s="49"/>
      <c r="C110" s="50" t="s">
        <v>201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3">
        <f t="shared" si="57"/>
        <v>0</v>
      </c>
      <c r="O110" s="51">
        <v>1100000</v>
      </c>
      <c r="P110" s="51"/>
      <c r="Q110" s="52"/>
      <c r="R110" s="51"/>
      <c r="S110" s="51">
        <v>1100000</v>
      </c>
      <c r="T110" s="53">
        <f t="shared" si="58"/>
        <v>7.570046700203052E-05</v>
      </c>
      <c r="U110" s="51"/>
      <c r="V110" s="52">
        <f>S110/O110*100</f>
        <v>100</v>
      </c>
      <c r="W110" s="51">
        <v>1100000</v>
      </c>
      <c r="X110" s="52">
        <f>W110/S110*100</f>
        <v>100</v>
      </c>
      <c r="Y110" s="51">
        <v>1100000</v>
      </c>
      <c r="Z110" s="52">
        <f>Y110/W110*100</f>
        <v>100</v>
      </c>
      <c r="AA110" s="51">
        <v>1100000</v>
      </c>
      <c r="AB110" s="52">
        <f>AA110/Y110*100</f>
        <v>100</v>
      </c>
      <c r="AC110" s="31">
        <f t="shared" si="70"/>
        <v>1138500</v>
      </c>
      <c r="AD110" s="31">
        <f t="shared" si="71"/>
        <v>1131900</v>
      </c>
      <c r="AE110" s="31">
        <f t="shared" si="68"/>
        <v>0</v>
      </c>
      <c r="AF110" s="31">
        <f t="shared" si="69"/>
        <v>1149500</v>
      </c>
      <c r="AI110" s="51">
        <v>1100000</v>
      </c>
      <c r="AJ110" s="51">
        <v>1100000</v>
      </c>
      <c r="AK110" s="51">
        <v>1100000</v>
      </c>
      <c r="AL110" s="51">
        <f aca="true" t="shared" si="72" ref="AL110:AL147">AJ110-AI110</f>
        <v>0</v>
      </c>
      <c r="AM110" s="51">
        <f aca="true" t="shared" si="73" ref="AM110:AM147">AK110-AJ110</f>
        <v>0</v>
      </c>
    </row>
    <row r="111" spans="1:39" s="35" customFormat="1" ht="12.75">
      <c r="A111" s="34">
        <v>7102</v>
      </c>
      <c r="C111" s="35" t="s">
        <v>202</v>
      </c>
      <c r="D111" s="36">
        <f>32221800+14000000</f>
        <v>46221800</v>
      </c>
      <c r="E111" s="36">
        <v>77184121</v>
      </c>
      <c r="F111" s="36">
        <v>96000000</v>
      </c>
      <c r="G111" s="36">
        <f>SUM(G112:G114)</f>
        <v>89811657.97</v>
      </c>
      <c r="H111" s="36">
        <f>SUM(H112:H114)</f>
        <v>45000000</v>
      </c>
      <c r="I111" s="36">
        <f>SUM(I112:I114)</f>
        <v>56000000</v>
      </c>
      <c r="J111" s="36">
        <f>SUM(J112:J114)</f>
        <v>96814144.92</v>
      </c>
      <c r="K111" s="36">
        <f>SUM(K112:K114)</f>
        <v>61000000</v>
      </c>
      <c r="L111" s="37">
        <f>K111/J111*100</f>
        <v>63.00732196767926</v>
      </c>
      <c r="M111" s="36">
        <f>SUM(M112:M114)</f>
        <v>138000000</v>
      </c>
      <c r="N111" s="38">
        <f t="shared" si="57"/>
        <v>0.01018879745480839</v>
      </c>
      <c r="O111" s="36">
        <f>SUM(O112:O114)</f>
        <v>286300000</v>
      </c>
      <c r="P111" s="36"/>
      <c r="Q111" s="37">
        <f>O111/J111*100</f>
        <v>295.7212504810914</v>
      </c>
      <c r="R111" s="37">
        <f>O111/M111*100</f>
        <v>207.46376811594206</v>
      </c>
      <c r="S111" s="36">
        <f>SUM(S112:S114)</f>
        <v>101000000</v>
      </c>
      <c r="T111" s="38">
        <f t="shared" si="58"/>
        <v>0.006950679242913711</v>
      </c>
      <c r="U111" s="37">
        <f>S111/M111*100</f>
        <v>73.18840579710145</v>
      </c>
      <c r="V111" s="37">
        <f>S111/O111*100</f>
        <v>35.27768075445337</v>
      </c>
      <c r="W111" s="36">
        <f>SUM(W112:W114)</f>
        <v>101000000</v>
      </c>
      <c r="X111" s="37">
        <f>W111/S111*100</f>
        <v>100</v>
      </c>
      <c r="Y111" s="36">
        <f>SUM(Y112:Y114)</f>
        <v>101000000</v>
      </c>
      <c r="Z111" s="37">
        <f>Y111/W111*100</f>
        <v>100</v>
      </c>
      <c r="AA111" s="36">
        <f>SUM(AA112:AA114)</f>
        <v>101000000</v>
      </c>
      <c r="AB111" s="37">
        <f>AA111/Y111*100</f>
        <v>100</v>
      </c>
      <c r="AC111" s="31">
        <f t="shared" si="70"/>
        <v>104534999.99999999</v>
      </c>
      <c r="AD111" s="31">
        <f t="shared" si="71"/>
        <v>103928999.99999999</v>
      </c>
      <c r="AE111" s="31">
        <f t="shared" si="68"/>
        <v>145866000</v>
      </c>
      <c r="AF111" s="31">
        <f t="shared" si="69"/>
        <v>105545000</v>
      </c>
      <c r="AI111" s="36">
        <f>SUM(AI112:AI114)</f>
        <v>100000000</v>
      </c>
      <c r="AJ111" s="36">
        <f>SUM(AJ112:AJ114)</f>
        <v>100000000</v>
      </c>
      <c r="AK111" s="36">
        <f>SUM(AK112:AK114)</f>
        <v>101000000</v>
      </c>
      <c r="AL111" s="36">
        <f t="shared" si="72"/>
        <v>0</v>
      </c>
      <c r="AM111" s="36">
        <f t="shared" si="73"/>
        <v>1000000</v>
      </c>
    </row>
    <row r="112" spans="1:39" s="40" customFormat="1" ht="12.75" customHeight="1">
      <c r="A112" s="39" t="s">
        <v>203</v>
      </c>
      <c r="C112" s="40" t="s">
        <v>204</v>
      </c>
      <c r="D112" s="31"/>
      <c r="E112" s="31"/>
      <c r="F112" s="31"/>
      <c r="G112" s="31">
        <v>2765788.37</v>
      </c>
      <c r="H112" s="31">
        <v>500000</v>
      </c>
      <c r="I112" s="31">
        <v>1000000</v>
      </c>
      <c r="J112" s="31">
        <v>1477188.66</v>
      </c>
      <c r="K112" s="31">
        <v>1000000</v>
      </c>
      <c r="L112" s="41">
        <f>K112/J112*100</f>
        <v>67.69616008289692</v>
      </c>
      <c r="M112" s="31">
        <v>1000000</v>
      </c>
      <c r="N112" s="42">
        <f t="shared" si="57"/>
        <v>7.383186561455355E-05</v>
      </c>
      <c r="O112" s="31">
        <v>1300000</v>
      </c>
      <c r="P112" s="31"/>
      <c r="Q112" s="41">
        <f>O112/J112*100</f>
        <v>88.00500810776602</v>
      </c>
      <c r="R112" s="41">
        <f>O112/M112*100</f>
        <v>130</v>
      </c>
      <c r="S112" s="31">
        <v>1000000</v>
      </c>
      <c r="T112" s="42">
        <f t="shared" si="58"/>
        <v>6.881860636548228E-05</v>
      </c>
      <c r="U112" s="41">
        <f>S112/M112*100</f>
        <v>100</v>
      </c>
      <c r="V112" s="41">
        <f>S112/O112*100</f>
        <v>76.92307692307693</v>
      </c>
      <c r="W112" s="31">
        <v>1000000</v>
      </c>
      <c r="X112" s="41">
        <f>W112/S112*100</f>
        <v>100</v>
      </c>
      <c r="Y112" s="31">
        <v>1000000</v>
      </c>
      <c r="Z112" s="41">
        <f>Y112/W112*100</f>
        <v>100</v>
      </c>
      <c r="AA112" s="31">
        <v>1000000</v>
      </c>
      <c r="AB112" s="41">
        <f>AA112/Y112*100</f>
        <v>100</v>
      </c>
      <c r="AC112" s="31">
        <f t="shared" si="70"/>
        <v>1034999.9999999999</v>
      </c>
      <c r="AD112" s="31">
        <f t="shared" si="71"/>
        <v>1028999.9999999999</v>
      </c>
      <c r="AE112" s="31">
        <f t="shared" si="68"/>
        <v>1057000</v>
      </c>
      <c r="AF112" s="31">
        <f t="shared" si="69"/>
        <v>1044999.9999999999</v>
      </c>
      <c r="AI112" s="31"/>
      <c r="AJ112" s="31"/>
      <c r="AK112" s="31">
        <v>1000000</v>
      </c>
      <c r="AL112" s="31">
        <f t="shared" si="72"/>
        <v>0</v>
      </c>
      <c r="AM112" s="31">
        <f t="shared" si="73"/>
        <v>1000000</v>
      </c>
    </row>
    <row r="113" spans="1:39" s="40" customFormat="1" ht="12.75" customHeight="1">
      <c r="A113" s="39" t="s">
        <v>205</v>
      </c>
      <c r="C113" s="40" t="s">
        <v>206</v>
      </c>
      <c r="D113" s="31"/>
      <c r="E113" s="31"/>
      <c r="F113" s="31"/>
      <c r="G113" s="31">
        <f>89811657.97-2765788.37</f>
        <v>87045869.6</v>
      </c>
      <c r="H113" s="31">
        <v>44500000</v>
      </c>
      <c r="I113" s="31">
        <v>55000000</v>
      </c>
      <c r="J113" s="31">
        <v>95336956.26</v>
      </c>
      <c r="K113" s="31">
        <v>60000000</v>
      </c>
      <c r="L113" s="41">
        <f>K113/J113*100</f>
        <v>62.934671247915496</v>
      </c>
      <c r="M113" s="31">
        <f>60000000+20000000+20000000+8000000</f>
        <v>108000000</v>
      </c>
      <c r="N113" s="42">
        <f aca="true" t="shared" si="74" ref="N113:N144">M113/$M$9</f>
        <v>0.007973841486371784</v>
      </c>
      <c r="O113" s="31">
        <f>200000000+85000000</f>
        <v>285000000</v>
      </c>
      <c r="P113" s="31"/>
      <c r="Q113" s="41">
        <f>O113/J113*100</f>
        <v>298.93968842759864</v>
      </c>
      <c r="R113" s="41">
        <f>O113/M113*100</f>
        <v>263.88888888888886</v>
      </c>
      <c r="S113" s="31">
        <v>100000000</v>
      </c>
      <c r="T113" s="42">
        <f aca="true" t="shared" si="75" ref="T113:T144">S113/$S$9</f>
        <v>0.006881860636548229</v>
      </c>
      <c r="U113" s="41">
        <f>S113/M113*100</f>
        <v>92.5925925925926</v>
      </c>
      <c r="V113" s="41">
        <f>S113/O113*100</f>
        <v>35.08771929824561</v>
      </c>
      <c r="W113" s="31">
        <v>100000000</v>
      </c>
      <c r="X113" s="41">
        <f>W113/S113*100</f>
        <v>100</v>
      </c>
      <c r="Y113" s="31">
        <v>100000000</v>
      </c>
      <c r="Z113" s="41">
        <f>Y113/W113*100</f>
        <v>100</v>
      </c>
      <c r="AA113" s="31">
        <v>100000000</v>
      </c>
      <c r="AB113" s="41">
        <f>AA113/Y113*100</f>
        <v>100</v>
      </c>
      <c r="AC113" s="31">
        <f t="shared" si="70"/>
        <v>103499999.99999999</v>
      </c>
      <c r="AD113" s="31">
        <f t="shared" si="71"/>
        <v>102899999.99999999</v>
      </c>
      <c r="AE113" s="31">
        <f t="shared" si="68"/>
        <v>114156000</v>
      </c>
      <c r="AF113" s="31">
        <f t="shared" si="69"/>
        <v>104500000</v>
      </c>
      <c r="AI113" s="31">
        <v>100000000</v>
      </c>
      <c r="AJ113" s="31">
        <v>100000000</v>
      </c>
      <c r="AK113" s="31">
        <v>100000000</v>
      </c>
      <c r="AL113" s="31">
        <f t="shared" si="72"/>
        <v>0</v>
      </c>
      <c r="AM113" s="31">
        <f t="shared" si="73"/>
        <v>0</v>
      </c>
    </row>
    <row r="114" spans="1:39" s="40" customFormat="1" ht="12.75" customHeight="1">
      <c r="A114" s="39" t="s">
        <v>207</v>
      </c>
      <c r="C114" s="40" t="s">
        <v>208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>
        <v>29000000</v>
      </c>
      <c r="N114" s="42">
        <f t="shared" si="74"/>
        <v>0.0021411241028220533</v>
      </c>
      <c r="O114" s="31"/>
      <c r="P114" s="31"/>
      <c r="Q114" s="31"/>
      <c r="R114" s="31"/>
      <c r="S114" s="31"/>
      <c r="T114" s="42">
        <f t="shared" si="75"/>
        <v>0</v>
      </c>
      <c r="U114" s="31"/>
      <c r="V114" s="31"/>
      <c r="W114" s="31"/>
      <c r="X114" s="31"/>
      <c r="Y114" s="31"/>
      <c r="Z114" s="31"/>
      <c r="AA114" s="31"/>
      <c r="AB114" s="31"/>
      <c r="AC114" s="31">
        <f t="shared" si="70"/>
        <v>0</v>
      </c>
      <c r="AD114" s="31">
        <f t="shared" si="71"/>
        <v>0</v>
      </c>
      <c r="AE114" s="31">
        <f t="shared" si="68"/>
        <v>30653000</v>
      </c>
      <c r="AF114" s="31">
        <f t="shared" si="69"/>
        <v>0</v>
      </c>
      <c r="AI114" s="31"/>
      <c r="AJ114" s="31"/>
      <c r="AK114" s="31"/>
      <c r="AL114" s="31">
        <f t="shared" si="72"/>
        <v>0</v>
      </c>
      <c r="AM114" s="31">
        <f t="shared" si="73"/>
        <v>0</v>
      </c>
    </row>
    <row r="115" spans="1:39" s="35" customFormat="1" ht="12.75">
      <c r="A115" s="34">
        <v>7103</v>
      </c>
      <c r="C115" s="35" t="s">
        <v>209</v>
      </c>
      <c r="D115" s="36">
        <f>SUM(D116:D144)</f>
        <v>952500000</v>
      </c>
      <c r="E115" s="36">
        <f>SUM(E116:E144)</f>
        <v>1182563302</v>
      </c>
      <c r="F115" s="36">
        <f>SUM(F116:F144)</f>
        <v>954000000</v>
      </c>
      <c r="G115" s="36">
        <f>SUM(G116:G118)+G130+G131+G144</f>
        <v>1403131860</v>
      </c>
      <c r="H115" s="36">
        <f>SUM(H116:H118)+H130+H131+H144</f>
        <v>1362200000</v>
      </c>
      <c r="I115" s="36">
        <f>SUM(I116:I118)+I130+I131+I144</f>
        <v>1516600000</v>
      </c>
      <c r="J115" s="36">
        <f>SUM(J116:J118)+J130+J131+J142+J143+J144</f>
        <v>1339815918.04</v>
      </c>
      <c r="K115" s="36">
        <f>SUM(K116:K118)+K130+K131+K142+K143+K144</f>
        <v>1521600000</v>
      </c>
      <c r="L115" s="37">
        <f aca="true" t="shared" si="76" ref="L115:L124">K115/J115*100</f>
        <v>113.56784014224355</v>
      </c>
      <c r="M115" s="36">
        <f>SUM(M116:M118)+M130+M131+M142+M143+M144</f>
        <v>1599875000</v>
      </c>
      <c r="N115" s="38">
        <f t="shared" si="74"/>
        <v>0.11812175600008387</v>
      </c>
      <c r="O115" s="36">
        <f>SUM(O116:O118)+O130+O131+O142+O143+O144</f>
        <v>1574035000</v>
      </c>
      <c r="P115" s="36"/>
      <c r="Q115" s="37">
        <f aca="true" t="shared" si="77" ref="Q115:Q124">O115/J115*100</f>
        <v>117.48143747259223</v>
      </c>
      <c r="R115" s="37">
        <f aca="true" t="shared" si="78" ref="R115:R126">O115/M115*100</f>
        <v>98.38487381826705</v>
      </c>
      <c r="S115" s="36">
        <f>SUM(S116:S118)+S130+S131+S142+S143+S144</f>
        <v>1642900000</v>
      </c>
      <c r="T115" s="38">
        <f t="shared" si="75"/>
        <v>0.11306208839785085</v>
      </c>
      <c r="U115" s="37">
        <f aca="true" t="shared" si="79" ref="U115:U140">S115/M115*100</f>
        <v>102.68927259942183</v>
      </c>
      <c r="V115" s="37">
        <f aca="true" t="shared" si="80" ref="V115:V140">S115/O115*100</f>
        <v>104.37506154564542</v>
      </c>
      <c r="W115" s="36">
        <f>SUM(W116:W118)+W130+W131+W142+W143+W144</f>
        <v>1683400000</v>
      </c>
      <c r="X115" s="37">
        <f aca="true" t="shared" si="81" ref="X115:X122">W115/S115*100</f>
        <v>102.46515308296304</v>
      </c>
      <c r="Y115" s="36">
        <f>SUM(Y116:Y118)+Y130+Y131+Y142+Y143+Y144</f>
        <v>1718700000</v>
      </c>
      <c r="Z115" s="37">
        <f aca="true" t="shared" si="82" ref="Z115:Z122">Y115/W115*100</f>
        <v>102.09694665557801</v>
      </c>
      <c r="AA115" s="36">
        <f>SUM(AA116:AA118)+AA130+AA131+AA142+AA143+AA144</f>
        <v>1746600000</v>
      </c>
      <c r="AB115" s="37">
        <f aca="true" t="shared" si="83" ref="AB115:AB122">AA115/Y115*100</f>
        <v>101.62331995112585</v>
      </c>
      <c r="AC115" s="31">
        <f t="shared" si="70"/>
        <v>1742318999.9999998</v>
      </c>
      <c r="AD115" s="31">
        <f t="shared" si="71"/>
        <v>1768542299.9999998</v>
      </c>
      <c r="AE115" s="31">
        <f t="shared" si="68"/>
        <v>1691067875</v>
      </c>
      <c r="AF115" s="31">
        <f t="shared" si="69"/>
        <v>1716830500</v>
      </c>
      <c r="AI115" s="36">
        <f>SUM(AI116:AI118)+AI130+AI131+AI142+AI143+AI144</f>
        <v>1624600000</v>
      </c>
      <c r="AJ115" s="36">
        <f>SUM(AJ116:AJ118)+AJ130+AJ131+AJ142+AJ143+AJ144</f>
        <v>1632600000</v>
      </c>
      <c r="AK115" s="36">
        <f>SUM(AK116:AK118)+AK130+AK131+AK142+AK143+AK144</f>
        <v>1642900000</v>
      </c>
      <c r="AL115" s="36">
        <f t="shared" si="72"/>
        <v>8000000</v>
      </c>
      <c r="AM115" s="36">
        <f t="shared" si="73"/>
        <v>10300000</v>
      </c>
    </row>
    <row r="116" spans="1:39" s="40" customFormat="1" ht="12.75" customHeight="1">
      <c r="A116" s="39" t="s">
        <v>210</v>
      </c>
      <c r="C116" s="40" t="s">
        <v>211</v>
      </c>
      <c r="D116" s="31">
        <v>532500000</v>
      </c>
      <c r="E116" s="31">
        <v>567246238</v>
      </c>
      <c r="F116" s="31">
        <v>520000000</v>
      </c>
      <c r="G116" s="31">
        <v>528943515</v>
      </c>
      <c r="H116" s="31">
        <f>500000000+9000000</f>
        <v>509000000</v>
      </c>
      <c r="I116" s="31">
        <f>500000000+2000000</f>
        <v>502000000</v>
      </c>
      <c r="J116" s="31">
        <f>500385354.81-496422.34</f>
        <v>499888932.47</v>
      </c>
      <c r="K116" s="31">
        <v>490000000</v>
      </c>
      <c r="L116" s="41">
        <f t="shared" si="76"/>
        <v>98.02177407266494</v>
      </c>
      <c r="M116" s="31">
        <f>490000000+3000000</f>
        <v>493000000</v>
      </c>
      <c r="N116" s="42">
        <f t="shared" si="74"/>
        <v>0.0363991097479749</v>
      </c>
      <c r="O116" s="31">
        <f>490000000+3000000</f>
        <v>493000000</v>
      </c>
      <c r="P116" s="31"/>
      <c r="Q116" s="41">
        <f t="shared" si="77"/>
        <v>98.6219073833139</v>
      </c>
      <c r="R116" s="41">
        <f t="shared" si="78"/>
        <v>100</v>
      </c>
      <c r="S116" s="31">
        <f>480000000+25000000</f>
        <v>505000000</v>
      </c>
      <c r="T116" s="42">
        <f t="shared" si="75"/>
        <v>0.034753396214568556</v>
      </c>
      <c r="U116" s="41">
        <f t="shared" si="79"/>
        <v>102.4340770791075</v>
      </c>
      <c r="V116" s="41">
        <f t="shared" si="80"/>
        <v>102.4340770791075</v>
      </c>
      <c r="W116" s="31">
        <f>480000000+25000000</f>
        <v>505000000</v>
      </c>
      <c r="X116" s="41">
        <f t="shared" si="81"/>
        <v>100</v>
      </c>
      <c r="Y116" s="31">
        <v>520000000</v>
      </c>
      <c r="Z116" s="41">
        <f t="shared" si="82"/>
        <v>102.97029702970298</v>
      </c>
      <c r="AA116" s="31">
        <v>535000000</v>
      </c>
      <c r="AB116" s="41">
        <f t="shared" si="83"/>
        <v>102.88461538461537</v>
      </c>
      <c r="AC116" s="31">
        <f t="shared" si="70"/>
        <v>522674999.99999994</v>
      </c>
      <c r="AD116" s="31">
        <f t="shared" si="71"/>
        <v>535079999.99999994</v>
      </c>
      <c r="AE116" s="31">
        <f t="shared" si="68"/>
        <v>521101000</v>
      </c>
      <c r="AF116" s="31">
        <f t="shared" si="69"/>
        <v>527724999.99999994</v>
      </c>
      <c r="AI116" s="31">
        <f>480000000+25000000</f>
        <v>505000000</v>
      </c>
      <c r="AJ116" s="31">
        <f>480000000+25000000</f>
        <v>505000000</v>
      </c>
      <c r="AK116" s="31">
        <f>480000000+25000000</f>
        <v>505000000</v>
      </c>
      <c r="AL116" s="31">
        <f t="shared" si="72"/>
        <v>0</v>
      </c>
      <c r="AM116" s="31">
        <f t="shared" si="73"/>
        <v>0</v>
      </c>
    </row>
    <row r="117" spans="1:39" s="40" customFormat="1" ht="12.75" customHeight="1">
      <c r="A117" s="39" t="s">
        <v>212</v>
      </c>
      <c r="C117" s="40" t="s">
        <v>213</v>
      </c>
      <c r="D117" s="31">
        <v>320000000</v>
      </c>
      <c r="E117" s="31">
        <v>326374787</v>
      </c>
      <c r="F117" s="31">
        <v>324000000</v>
      </c>
      <c r="G117" s="31">
        <v>339835692</v>
      </c>
      <c r="H117" s="31">
        <f>374700000-15000000</f>
        <v>359700000</v>
      </c>
      <c r="I117" s="31">
        <v>360000000</v>
      </c>
      <c r="J117" s="31">
        <v>365104153.55</v>
      </c>
      <c r="K117" s="31">
        <v>407000000</v>
      </c>
      <c r="L117" s="41">
        <f t="shared" si="76"/>
        <v>111.47503966817031</v>
      </c>
      <c r="M117" s="31">
        <v>407000000</v>
      </c>
      <c r="N117" s="42">
        <f t="shared" si="74"/>
        <v>0.030049569305123296</v>
      </c>
      <c r="O117" s="31">
        <v>407000000</v>
      </c>
      <c r="P117" s="31"/>
      <c r="Q117" s="41">
        <f t="shared" si="77"/>
        <v>111.47503966817031</v>
      </c>
      <c r="R117" s="41">
        <f t="shared" si="78"/>
        <v>100</v>
      </c>
      <c r="S117" s="31">
        <v>440000000</v>
      </c>
      <c r="T117" s="42">
        <f t="shared" si="75"/>
        <v>0.030280186800812205</v>
      </c>
      <c r="U117" s="41">
        <f t="shared" si="79"/>
        <v>108.10810810810811</v>
      </c>
      <c r="V117" s="41">
        <f t="shared" si="80"/>
        <v>108.10810810810811</v>
      </c>
      <c r="W117" s="31">
        <v>470000000</v>
      </c>
      <c r="X117" s="41">
        <f t="shared" si="81"/>
        <v>106.81818181818181</v>
      </c>
      <c r="Y117" s="31">
        <v>485000000</v>
      </c>
      <c r="Z117" s="41">
        <f t="shared" si="82"/>
        <v>103.19148936170212</v>
      </c>
      <c r="AA117" s="31">
        <v>500000000</v>
      </c>
      <c r="AB117" s="41">
        <f t="shared" si="83"/>
        <v>103.09278350515463</v>
      </c>
      <c r="AC117" s="31">
        <f t="shared" si="70"/>
        <v>486449999.99999994</v>
      </c>
      <c r="AD117" s="31">
        <f t="shared" si="71"/>
        <v>499064999.99999994</v>
      </c>
      <c r="AE117" s="31">
        <f t="shared" si="68"/>
        <v>430199000</v>
      </c>
      <c r="AF117" s="31">
        <f t="shared" si="69"/>
        <v>459799999.99999994</v>
      </c>
      <c r="AI117" s="31">
        <v>440000000</v>
      </c>
      <c r="AJ117" s="31">
        <v>440000000</v>
      </c>
      <c r="AK117" s="31">
        <v>440000000</v>
      </c>
      <c r="AL117" s="31">
        <f t="shared" si="72"/>
        <v>0</v>
      </c>
      <c r="AM117" s="31">
        <f t="shared" si="73"/>
        <v>0</v>
      </c>
    </row>
    <row r="118" spans="1:39" s="40" customFormat="1" ht="12.75" customHeight="1">
      <c r="A118" s="39" t="s">
        <v>214</v>
      </c>
      <c r="C118" s="40" t="s">
        <v>215</v>
      </c>
      <c r="D118" s="31">
        <v>100000000</v>
      </c>
      <c r="E118" s="31"/>
      <c r="F118" s="31">
        <v>110000000</v>
      </c>
      <c r="G118" s="31">
        <f>SUM(G119:G129)</f>
        <v>359014654</v>
      </c>
      <c r="H118" s="31">
        <f>SUM(H119:H129)</f>
        <v>386500000</v>
      </c>
      <c r="I118" s="31">
        <f>SUM(I119:I129)</f>
        <v>434600000</v>
      </c>
      <c r="J118" s="31">
        <f>SUM(J119:J129)</f>
        <v>253406177.42000002</v>
      </c>
      <c r="K118" s="31">
        <f>SUM(K119:K129)</f>
        <v>422000000</v>
      </c>
      <c r="L118" s="41">
        <f t="shared" si="76"/>
        <v>166.53106261911267</v>
      </c>
      <c r="M118" s="31">
        <f>SUM(M119:M129)</f>
        <v>466340000</v>
      </c>
      <c r="N118" s="42">
        <f t="shared" si="74"/>
        <v>0.034430752210690904</v>
      </c>
      <c r="O118" s="31">
        <f>SUM(O119:O129)</f>
        <v>426500000</v>
      </c>
      <c r="P118" s="31"/>
      <c r="Q118" s="41">
        <f t="shared" si="77"/>
        <v>168.3068677892217</v>
      </c>
      <c r="R118" s="41">
        <f t="shared" si="78"/>
        <v>91.45687695672684</v>
      </c>
      <c r="S118" s="31">
        <f>SUM(S119:S129)</f>
        <v>418700000</v>
      </c>
      <c r="T118" s="42">
        <f t="shared" si="75"/>
        <v>0.028814350485227434</v>
      </c>
      <c r="U118" s="41">
        <f t="shared" si="79"/>
        <v>89.78427756572458</v>
      </c>
      <c r="V118" s="41">
        <f t="shared" si="80"/>
        <v>98.17116060961312</v>
      </c>
      <c r="W118" s="31">
        <f>SUM(W119:W129)</f>
        <v>425200000</v>
      </c>
      <c r="X118" s="41">
        <f t="shared" si="81"/>
        <v>101.55242417005014</v>
      </c>
      <c r="Y118" s="31">
        <f>SUM(Y119:Y129)</f>
        <v>436200000</v>
      </c>
      <c r="Z118" s="41">
        <f t="shared" si="82"/>
        <v>102.58701787394166</v>
      </c>
      <c r="AA118" s="31">
        <f>SUM(AA119:AA129)</f>
        <v>447200000</v>
      </c>
      <c r="AB118" s="41">
        <f t="shared" si="83"/>
        <v>102.52177900045851</v>
      </c>
      <c r="AC118" s="31">
        <f t="shared" si="70"/>
        <v>440081999.99999994</v>
      </c>
      <c r="AD118" s="31">
        <f t="shared" si="71"/>
        <v>448849799.99999994</v>
      </c>
      <c r="AE118" s="31">
        <f t="shared" si="68"/>
        <v>492921380</v>
      </c>
      <c r="AF118" s="31">
        <f t="shared" si="69"/>
        <v>437541500</v>
      </c>
      <c r="AI118" s="31">
        <f>SUM(AI119:AI129)</f>
        <v>416200000</v>
      </c>
      <c r="AJ118" s="31">
        <f>SUM(AJ119:AJ129)</f>
        <v>421700000</v>
      </c>
      <c r="AK118" s="31">
        <f>SUM(AK119:AK129)</f>
        <v>418700000</v>
      </c>
      <c r="AL118" s="31">
        <f t="shared" si="72"/>
        <v>5500000</v>
      </c>
      <c r="AM118" s="31">
        <f t="shared" si="73"/>
        <v>-3000000</v>
      </c>
    </row>
    <row r="119" spans="1:39" s="50" customFormat="1" ht="12.75" customHeight="1">
      <c r="A119" s="48" t="s">
        <v>216</v>
      </c>
      <c r="B119" s="49"/>
      <c r="C119" s="50" t="s">
        <v>217</v>
      </c>
      <c r="D119" s="51"/>
      <c r="E119" s="31">
        <v>94327253</v>
      </c>
      <c r="F119" s="51"/>
      <c r="G119" s="51">
        <v>143138077</v>
      </c>
      <c r="H119" s="51">
        <v>140000000</v>
      </c>
      <c r="I119" s="51">
        <f>140000000+74000000</f>
        <v>214000000</v>
      </c>
      <c r="J119" s="51">
        <v>151163828.91</v>
      </c>
      <c r="K119" s="51">
        <f>140000000+30000000</f>
        <v>170000000</v>
      </c>
      <c r="L119" s="52">
        <f t="shared" si="76"/>
        <v>112.46076606144628</v>
      </c>
      <c r="M119" s="51">
        <f>140000000+30000000+46000000+4000000</f>
        <v>220000000</v>
      </c>
      <c r="N119" s="53">
        <f t="shared" si="74"/>
        <v>0.016243010435201783</v>
      </c>
      <c r="O119" s="51">
        <f>140000000+30000000+46000000+4000000</f>
        <v>220000000</v>
      </c>
      <c r="P119" s="51"/>
      <c r="Q119" s="52">
        <f t="shared" si="77"/>
        <v>145.53746196187166</v>
      </c>
      <c r="R119" s="52">
        <f t="shared" si="78"/>
        <v>100</v>
      </c>
      <c r="S119" s="51">
        <v>180000000</v>
      </c>
      <c r="T119" s="53">
        <f t="shared" si="75"/>
        <v>0.012387349145786812</v>
      </c>
      <c r="U119" s="52">
        <f t="shared" si="79"/>
        <v>81.81818181818183</v>
      </c>
      <c r="V119" s="52">
        <f t="shared" si="80"/>
        <v>81.81818181818183</v>
      </c>
      <c r="W119" s="51">
        <v>180000000</v>
      </c>
      <c r="X119" s="52">
        <f t="shared" si="81"/>
        <v>100</v>
      </c>
      <c r="Y119" s="51">
        <v>185000000</v>
      </c>
      <c r="Z119" s="52">
        <f t="shared" si="82"/>
        <v>102.77777777777777</v>
      </c>
      <c r="AA119" s="51">
        <v>190000000</v>
      </c>
      <c r="AB119" s="52">
        <f t="shared" si="83"/>
        <v>102.7027027027027</v>
      </c>
      <c r="AC119" s="31">
        <f t="shared" si="70"/>
        <v>186300000</v>
      </c>
      <c r="AD119" s="31">
        <f t="shared" si="71"/>
        <v>190364999.99999997</v>
      </c>
      <c r="AE119" s="31">
        <f t="shared" si="68"/>
        <v>232540000</v>
      </c>
      <c r="AF119" s="31">
        <f t="shared" si="69"/>
        <v>188100000</v>
      </c>
      <c r="AI119" s="51">
        <v>180000000</v>
      </c>
      <c r="AJ119" s="51">
        <v>180000000</v>
      </c>
      <c r="AK119" s="51">
        <v>180000000</v>
      </c>
      <c r="AL119" s="51">
        <f t="shared" si="72"/>
        <v>0</v>
      </c>
      <c r="AM119" s="51">
        <f t="shared" si="73"/>
        <v>0</v>
      </c>
    </row>
    <row r="120" spans="1:39" s="50" customFormat="1" ht="11.25">
      <c r="A120" s="48" t="s">
        <v>218</v>
      </c>
      <c r="B120" s="49"/>
      <c r="C120" s="50" t="s">
        <v>219</v>
      </c>
      <c r="D120" s="51"/>
      <c r="E120" s="51">
        <v>7357781</v>
      </c>
      <c r="F120" s="51"/>
      <c r="G120" s="51">
        <v>18358122</v>
      </c>
      <c r="H120" s="51">
        <v>18500000</v>
      </c>
      <c r="I120" s="51">
        <v>13500000</v>
      </c>
      <c r="J120" s="51">
        <v>10725051.65</v>
      </c>
      <c r="K120" s="51">
        <f>15000000-5000000</f>
        <v>10000000</v>
      </c>
      <c r="L120" s="52">
        <f t="shared" si="76"/>
        <v>93.2396442118766</v>
      </c>
      <c r="M120" s="51">
        <f>15000000-5000000</f>
        <v>10000000</v>
      </c>
      <c r="N120" s="53">
        <f t="shared" si="74"/>
        <v>0.0007383186561455355</v>
      </c>
      <c r="O120" s="51">
        <f>15000000-5000000-3000000</f>
        <v>7000000</v>
      </c>
      <c r="P120" s="51"/>
      <c r="Q120" s="52">
        <f t="shared" si="77"/>
        <v>65.2677509483136</v>
      </c>
      <c r="R120" s="52">
        <f t="shared" si="78"/>
        <v>70</v>
      </c>
      <c r="S120" s="51">
        <v>5000000</v>
      </c>
      <c r="T120" s="53">
        <f t="shared" si="75"/>
        <v>0.00034409303182741143</v>
      </c>
      <c r="U120" s="52">
        <f t="shared" si="79"/>
        <v>50</v>
      </c>
      <c r="V120" s="52">
        <f t="shared" si="80"/>
        <v>71.42857142857143</v>
      </c>
      <c r="W120" s="51">
        <f>4000000+2000000</f>
        <v>6000000</v>
      </c>
      <c r="X120" s="52">
        <f t="shared" si="81"/>
        <v>120</v>
      </c>
      <c r="Y120" s="51">
        <v>6000000</v>
      </c>
      <c r="Z120" s="52">
        <f t="shared" si="82"/>
        <v>100</v>
      </c>
      <c r="AA120" s="51">
        <v>6000000</v>
      </c>
      <c r="AB120" s="52">
        <f t="shared" si="83"/>
        <v>100</v>
      </c>
      <c r="AC120" s="31">
        <f t="shared" si="70"/>
        <v>6209999.999999999</v>
      </c>
      <c r="AD120" s="31">
        <f t="shared" si="71"/>
        <v>6173999.999999999</v>
      </c>
      <c r="AE120" s="31">
        <f t="shared" si="68"/>
        <v>10570000</v>
      </c>
      <c r="AF120" s="31">
        <f t="shared" si="69"/>
        <v>5225000</v>
      </c>
      <c r="AI120" s="51">
        <v>5000000</v>
      </c>
      <c r="AJ120" s="51">
        <v>5000000</v>
      </c>
      <c r="AK120" s="51">
        <v>5000000</v>
      </c>
      <c r="AL120" s="51">
        <f t="shared" si="72"/>
        <v>0</v>
      </c>
      <c r="AM120" s="51">
        <f t="shared" si="73"/>
        <v>0</v>
      </c>
    </row>
    <row r="121" spans="1:39" s="50" customFormat="1" ht="11.25">
      <c r="A121" s="48" t="s">
        <v>220</v>
      </c>
      <c r="B121" s="49"/>
      <c r="C121" s="50" t="s">
        <v>221</v>
      </c>
      <c r="D121" s="51"/>
      <c r="E121" s="51"/>
      <c r="F121" s="51"/>
      <c r="G121" s="51"/>
      <c r="H121" s="51">
        <v>5000000</v>
      </c>
      <c r="I121" s="51">
        <v>5000000</v>
      </c>
      <c r="J121" s="51">
        <v>7975653.74</v>
      </c>
      <c r="K121" s="51">
        <f>5000000+300000</f>
        <v>5300000</v>
      </c>
      <c r="L121" s="52">
        <f t="shared" si="76"/>
        <v>66.45223291752383</v>
      </c>
      <c r="M121" s="51">
        <v>8500000</v>
      </c>
      <c r="N121" s="53">
        <f t="shared" si="74"/>
        <v>0.0006275708577237052</v>
      </c>
      <c r="O121" s="51">
        <f>16200000-2200000</f>
        <v>14000000</v>
      </c>
      <c r="P121" s="51"/>
      <c r="Q121" s="52">
        <f t="shared" si="77"/>
        <v>175.5342001594969</v>
      </c>
      <c r="R121" s="52">
        <f t="shared" si="78"/>
        <v>164.70588235294116</v>
      </c>
      <c r="S121" s="51">
        <v>16200000</v>
      </c>
      <c r="T121" s="53">
        <f t="shared" si="75"/>
        <v>0.001114861423120813</v>
      </c>
      <c r="U121" s="52">
        <f t="shared" si="79"/>
        <v>190.58823529411762</v>
      </c>
      <c r="V121" s="52">
        <f t="shared" si="80"/>
        <v>115.71428571428572</v>
      </c>
      <c r="W121" s="51">
        <v>16200000</v>
      </c>
      <c r="X121" s="52">
        <f t="shared" si="81"/>
        <v>100</v>
      </c>
      <c r="Y121" s="51">
        <v>16200000</v>
      </c>
      <c r="Z121" s="52">
        <f t="shared" si="82"/>
        <v>100</v>
      </c>
      <c r="AA121" s="51">
        <v>16200000</v>
      </c>
      <c r="AB121" s="52">
        <f t="shared" si="83"/>
        <v>100</v>
      </c>
      <c r="AC121" s="31">
        <f t="shared" si="70"/>
        <v>16766999.999999998</v>
      </c>
      <c r="AD121" s="31">
        <f t="shared" si="71"/>
        <v>16669799.999999998</v>
      </c>
      <c r="AE121" s="31">
        <f t="shared" si="68"/>
        <v>8984500</v>
      </c>
      <c r="AF121" s="31">
        <f t="shared" si="69"/>
        <v>16929000</v>
      </c>
      <c r="AI121" s="51">
        <v>16200000</v>
      </c>
      <c r="AJ121" s="51">
        <v>16200000</v>
      </c>
      <c r="AK121" s="51">
        <v>16200000</v>
      </c>
      <c r="AL121" s="51">
        <f t="shared" si="72"/>
        <v>0</v>
      </c>
      <c r="AM121" s="51">
        <f t="shared" si="73"/>
        <v>0</v>
      </c>
    </row>
    <row r="122" spans="1:39" s="50" customFormat="1" ht="11.25">
      <c r="A122" s="48" t="s">
        <v>222</v>
      </c>
      <c r="B122" s="49"/>
      <c r="C122" s="50" t="s">
        <v>223</v>
      </c>
      <c r="D122" s="51"/>
      <c r="E122" s="51">
        <v>38602201</v>
      </c>
      <c r="F122" s="51"/>
      <c r="G122" s="51">
        <v>48778567</v>
      </c>
      <c r="H122" s="51">
        <v>50000000</v>
      </c>
      <c r="I122" s="51">
        <f>50000000-15000000</f>
        <v>35000000</v>
      </c>
      <c r="J122" s="51">
        <v>33414427.62</v>
      </c>
      <c r="K122" s="51">
        <f>50000000+3100000</f>
        <v>53100000</v>
      </c>
      <c r="L122" s="52">
        <f t="shared" si="76"/>
        <v>158.91339095755546</v>
      </c>
      <c r="M122" s="51">
        <v>36100000</v>
      </c>
      <c r="N122" s="53">
        <f t="shared" si="74"/>
        <v>0.002665330348685383</v>
      </c>
      <c r="O122" s="51">
        <v>25000000</v>
      </c>
      <c r="P122" s="51"/>
      <c r="Q122" s="52">
        <f t="shared" si="77"/>
        <v>74.8179806768152</v>
      </c>
      <c r="R122" s="52">
        <f t="shared" si="78"/>
        <v>69.25207756232687</v>
      </c>
      <c r="S122" s="51">
        <f>25000000+2000000</f>
        <v>27000000</v>
      </c>
      <c r="T122" s="53">
        <f t="shared" si="75"/>
        <v>0.0018581023718680218</v>
      </c>
      <c r="U122" s="52">
        <f t="shared" si="79"/>
        <v>74.79224376731301</v>
      </c>
      <c r="V122" s="52">
        <f t="shared" si="80"/>
        <v>108</v>
      </c>
      <c r="W122" s="51">
        <v>25000000</v>
      </c>
      <c r="X122" s="52">
        <f t="shared" si="81"/>
        <v>92.5925925925926</v>
      </c>
      <c r="Y122" s="51">
        <f>25000000</f>
        <v>25000000</v>
      </c>
      <c r="Z122" s="52">
        <f t="shared" si="82"/>
        <v>100</v>
      </c>
      <c r="AA122" s="51">
        <f>25000000</f>
        <v>25000000</v>
      </c>
      <c r="AB122" s="52">
        <f t="shared" si="83"/>
        <v>100</v>
      </c>
      <c r="AC122" s="31">
        <f t="shared" si="70"/>
        <v>25874999.999999996</v>
      </c>
      <c r="AD122" s="31">
        <f t="shared" si="71"/>
        <v>25724999.999999996</v>
      </c>
      <c r="AE122" s="31">
        <f t="shared" si="68"/>
        <v>38157700</v>
      </c>
      <c r="AF122" s="31">
        <f t="shared" si="69"/>
        <v>28214999.999999996</v>
      </c>
      <c r="AI122" s="51">
        <f>25000000</f>
        <v>25000000</v>
      </c>
      <c r="AJ122" s="51">
        <f>25000000+2000000</f>
        <v>27000000</v>
      </c>
      <c r="AK122" s="51">
        <f>25000000+2000000</f>
        <v>27000000</v>
      </c>
      <c r="AL122" s="51">
        <f t="shared" si="72"/>
        <v>2000000</v>
      </c>
      <c r="AM122" s="51">
        <f t="shared" si="73"/>
        <v>0</v>
      </c>
    </row>
    <row r="123" spans="1:39" s="50" customFormat="1" ht="11.25">
      <c r="A123" s="48" t="s">
        <v>224</v>
      </c>
      <c r="B123" s="49"/>
      <c r="C123" s="50" t="s">
        <v>225</v>
      </c>
      <c r="D123" s="51"/>
      <c r="E123" s="51">
        <v>801979</v>
      </c>
      <c r="F123" s="51"/>
      <c r="G123" s="51">
        <v>1018105</v>
      </c>
      <c r="H123" s="51">
        <v>1500000</v>
      </c>
      <c r="I123" s="51">
        <v>1500000</v>
      </c>
      <c r="J123" s="51">
        <v>1646000</v>
      </c>
      <c r="K123" s="51">
        <f>1500000+1000000</f>
        <v>2500000</v>
      </c>
      <c r="L123" s="52">
        <f t="shared" si="76"/>
        <v>151.88335358444712</v>
      </c>
      <c r="M123" s="51">
        <f>1500000+1000000</f>
        <v>2500000</v>
      </c>
      <c r="N123" s="53">
        <f t="shared" si="74"/>
        <v>0.00018457966403638389</v>
      </c>
      <c r="O123" s="51">
        <f>1500000+1000000-1000000</f>
        <v>1500000</v>
      </c>
      <c r="P123" s="51"/>
      <c r="Q123" s="52">
        <f t="shared" si="77"/>
        <v>91.13001215066828</v>
      </c>
      <c r="R123" s="52">
        <f t="shared" si="78"/>
        <v>60</v>
      </c>
      <c r="S123" s="51">
        <v>2500000</v>
      </c>
      <c r="T123" s="53">
        <f t="shared" si="75"/>
        <v>0.00017204651591370572</v>
      </c>
      <c r="U123" s="52">
        <f t="shared" si="79"/>
        <v>100</v>
      </c>
      <c r="V123" s="52">
        <f t="shared" si="80"/>
        <v>166.66666666666669</v>
      </c>
      <c r="W123" s="51">
        <v>0</v>
      </c>
      <c r="X123" s="52"/>
      <c r="Y123" s="51"/>
      <c r="Z123" s="52"/>
      <c r="AA123" s="51"/>
      <c r="AB123" s="52"/>
      <c r="AC123" s="31">
        <f t="shared" si="70"/>
        <v>0</v>
      </c>
      <c r="AD123" s="31">
        <f t="shared" si="71"/>
        <v>0</v>
      </c>
      <c r="AE123" s="31">
        <f t="shared" si="68"/>
        <v>2642500</v>
      </c>
      <c r="AF123" s="31">
        <f t="shared" si="69"/>
        <v>2612500</v>
      </c>
      <c r="AI123" s="51"/>
      <c r="AJ123" s="51">
        <v>2500000</v>
      </c>
      <c r="AK123" s="51">
        <v>2500000</v>
      </c>
      <c r="AL123" s="51">
        <f t="shared" si="72"/>
        <v>2500000</v>
      </c>
      <c r="AM123" s="51">
        <f t="shared" si="73"/>
        <v>0</v>
      </c>
    </row>
    <row r="124" spans="1:39" s="50" customFormat="1" ht="11.25">
      <c r="A124" s="48" t="s">
        <v>226</v>
      </c>
      <c r="B124" s="49"/>
      <c r="C124" s="50" t="s">
        <v>227</v>
      </c>
      <c r="D124" s="51"/>
      <c r="E124" s="51">
        <v>43731508</v>
      </c>
      <c r="F124" s="51"/>
      <c r="G124" s="51">
        <v>50541805.6</v>
      </c>
      <c r="H124" s="51">
        <v>55000000</v>
      </c>
      <c r="I124" s="51">
        <v>55000000</v>
      </c>
      <c r="J124" s="51">
        <v>36122148.3</v>
      </c>
      <c r="K124" s="51">
        <f>55000000+3400000</f>
        <v>58400000</v>
      </c>
      <c r="L124" s="52">
        <f t="shared" si="76"/>
        <v>161.67366213930305</v>
      </c>
      <c r="M124" s="51">
        <f>55000000+3400000</f>
        <v>58400000</v>
      </c>
      <c r="N124" s="53">
        <f t="shared" si="74"/>
        <v>0.004311780951889927</v>
      </c>
      <c r="O124" s="51">
        <f>70000000+8000000</f>
        <v>78000000</v>
      </c>
      <c r="P124" s="51"/>
      <c r="Q124" s="52">
        <f t="shared" si="77"/>
        <v>215.93400080249384</v>
      </c>
      <c r="R124" s="52">
        <f t="shared" si="78"/>
        <v>133.56164383561645</v>
      </c>
      <c r="S124" s="51">
        <f>65000000-3000000</f>
        <v>62000000</v>
      </c>
      <c r="T124" s="53">
        <f t="shared" si="75"/>
        <v>0.004266753594659902</v>
      </c>
      <c r="U124" s="52">
        <f t="shared" si="79"/>
        <v>106.16438356164383</v>
      </c>
      <c r="V124" s="52">
        <f t="shared" si="80"/>
        <v>79.48717948717949</v>
      </c>
      <c r="W124" s="51">
        <v>65000000</v>
      </c>
      <c r="X124" s="52">
        <f>W124/S124*100</f>
        <v>104.83870967741935</v>
      </c>
      <c r="Y124" s="51">
        <v>67000000</v>
      </c>
      <c r="Z124" s="52">
        <f aca="true" t="shared" si="84" ref="Z124:Z147">Y124/W124*100</f>
        <v>103.07692307692307</v>
      </c>
      <c r="AA124" s="51">
        <v>69000000</v>
      </c>
      <c r="AB124" s="52">
        <f aca="true" t="shared" si="85" ref="AB124:AB147">AA124/Y124*100</f>
        <v>102.98507462686568</v>
      </c>
      <c r="AC124" s="31">
        <f t="shared" si="70"/>
        <v>67275000</v>
      </c>
      <c r="AD124" s="31">
        <f t="shared" si="71"/>
        <v>68943000</v>
      </c>
      <c r="AE124" s="31">
        <f t="shared" si="68"/>
        <v>61728800</v>
      </c>
      <c r="AF124" s="31">
        <f t="shared" si="69"/>
        <v>64789999.99999999</v>
      </c>
      <c r="AI124" s="51">
        <v>65000000</v>
      </c>
      <c r="AJ124" s="51">
        <v>65000000</v>
      </c>
      <c r="AK124" s="51">
        <f>65000000-3000000</f>
        <v>62000000</v>
      </c>
      <c r="AL124" s="51">
        <f t="shared" si="72"/>
        <v>0</v>
      </c>
      <c r="AM124" s="51">
        <f t="shared" si="73"/>
        <v>-3000000</v>
      </c>
    </row>
    <row r="125" spans="1:39" s="50" customFormat="1" ht="11.25">
      <c r="A125" s="48" t="s">
        <v>228</v>
      </c>
      <c r="B125" s="49"/>
      <c r="C125" s="50" t="s">
        <v>229</v>
      </c>
      <c r="D125" s="51"/>
      <c r="E125" s="51"/>
      <c r="F125" s="51"/>
      <c r="G125" s="51">
        <f>147721783-50541805.6</f>
        <v>97179977.4</v>
      </c>
      <c r="H125" s="51">
        <v>110000000</v>
      </c>
      <c r="I125" s="51">
        <v>110000000</v>
      </c>
      <c r="J125" s="51"/>
      <c r="K125" s="51">
        <f>91500000-20000000+45100000</f>
        <v>116600000</v>
      </c>
      <c r="L125" s="52"/>
      <c r="M125" s="51">
        <f>91500000-20000000+45100000+13640000</f>
        <v>130240000</v>
      </c>
      <c r="N125" s="53">
        <f t="shared" si="74"/>
        <v>0.009615862177639455</v>
      </c>
      <c r="O125" s="51">
        <v>80000000</v>
      </c>
      <c r="P125" s="51"/>
      <c r="Q125" s="52"/>
      <c r="R125" s="52">
        <f t="shared" si="78"/>
        <v>61.42506142506142</v>
      </c>
      <c r="S125" s="51">
        <v>124000000</v>
      </c>
      <c r="T125" s="53">
        <f t="shared" si="75"/>
        <v>0.008533507189319804</v>
      </c>
      <c r="U125" s="52">
        <f t="shared" si="79"/>
        <v>95.2088452088452</v>
      </c>
      <c r="V125" s="52">
        <f t="shared" si="80"/>
        <v>155</v>
      </c>
      <c r="W125" s="51">
        <v>131000000</v>
      </c>
      <c r="X125" s="52">
        <f>W125/S125*100</f>
        <v>105.64516129032258</v>
      </c>
      <c r="Y125" s="51">
        <v>135000000</v>
      </c>
      <c r="Z125" s="52">
        <f t="shared" si="84"/>
        <v>103.05343511450383</v>
      </c>
      <c r="AA125" s="51">
        <v>139000000</v>
      </c>
      <c r="AB125" s="52">
        <f t="shared" si="85"/>
        <v>102.96296296296296</v>
      </c>
      <c r="AC125" s="31">
        <f t="shared" si="70"/>
        <v>135585000</v>
      </c>
      <c r="AD125" s="31">
        <f t="shared" si="71"/>
        <v>138915000</v>
      </c>
      <c r="AE125" s="31">
        <f t="shared" si="68"/>
        <v>137663680</v>
      </c>
      <c r="AF125" s="31">
        <f t="shared" si="69"/>
        <v>129579999.99999999</v>
      </c>
      <c r="AI125" s="51">
        <v>124000000</v>
      </c>
      <c r="AJ125" s="51">
        <v>124000000</v>
      </c>
      <c r="AK125" s="51">
        <v>124000000</v>
      </c>
      <c r="AL125" s="51">
        <f t="shared" si="72"/>
        <v>0</v>
      </c>
      <c r="AM125" s="51">
        <f t="shared" si="73"/>
        <v>0</v>
      </c>
    </row>
    <row r="126" spans="1:39" s="50" customFormat="1" ht="11.25">
      <c r="A126" s="48" t="s">
        <v>230</v>
      </c>
      <c r="B126" s="49"/>
      <c r="C126" s="50" t="s">
        <v>231</v>
      </c>
      <c r="D126" s="51"/>
      <c r="E126" s="51"/>
      <c r="F126" s="51"/>
      <c r="G126" s="51"/>
      <c r="H126" s="51">
        <v>2000000</v>
      </c>
      <c r="I126" s="51">
        <v>600000</v>
      </c>
      <c r="J126" s="51">
        <v>12359067.2</v>
      </c>
      <c r="K126" s="51">
        <v>600000</v>
      </c>
      <c r="L126" s="52">
        <f>K126/J126*100</f>
        <v>4.854735315299523</v>
      </c>
      <c r="M126" s="51">
        <v>600000</v>
      </c>
      <c r="N126" s="53">
        <f t="shared" si="74"/>
        <v>4.4299119368732134E-05</v>
      </c>
      <c r="O126" s="51">
        <v>1000000</v>
      </c>
      <c r="P126" s="51"/>
      <c r="Q126" s="52">
        <f aca="true" t="shared" si="86" ref="Q126:Q140">O126/J126*100</f>
        <v>8.091225525499206</v>
      </c>
      <c r="R126" s="52">
        <f t="shared" si="78"/>
        <v>166.66666666666669</v>
      </c>
      <c r="S126" s="51">
        <f>1000000+1000000</f>
        <v>2000000</v>
      </c>
      <c r="T126" s="53">
        <f t="shared" si="75"/>
        <v>0.00013763721273096457</v>
      </c>
      <c r="U126" s="52">
        <f t="shared" si="79"/>
        <v>333.33333333333337</v>
      </c>
      <c r="V126" s="52">
        <f t="shared" si="80"/>
        <v>200</v>
      </c>
      <c r="W126" s="51">
        <f>1000000+1000000</f>
        <v>2000000</v>
      </c>
      <c r="X126" s="52">
        <f>W126/S126*100</f>
        <v>100</v>
      </c>
      <c r="Y126" s="51">
        <f>1000000+1000000</f>
        <v>2000000</v>
      </c>
      <c r="Z126" s="52">
        <f t="shared" si="84"/>
        <v>100</v>
      </c>
      <c r="AA126" s="51">
        <f>1000000+1000000</f>
        <v>2000000</v>
      </c>
      <c r="AB126" s="52">
        <f t="shared" si="85"/>
        <v>100</v>
      </c>
      <c r="AC126" s="31">
        <f t="shared" si="70"/>
        <v>2069999.9999999998</v>
      </c>
      <c r="AD126" s="31">
        <f t="shared" si="71"/>
        <v>2057999.9999999998</v>
      </c>
      <c r="AE126" s="31">
        <f t="shared" si="68"/>
        <v>634200</v>
      </c>
      <c r="AF126" s="31">
        <f t="shared" si="69"/>
        <v>2089999.9999999998</v>
      </c>
      <c r="AI126" s="51">
        <f>1000000</f>
        <v>1000000</v>
      </c>
      <c r="AJ126" s="51">
        <f>1000000+1000000</f>
        <v>2000000</v>
      </c>
      <c r="AK126" s="51">
        <f>1000000+1000000</f>
        <v>2000000</v>
      </c>
      <c r="AL126" s="51">
        <f t="shared" si="72"/>
        <v>1000000</v>
      </c>
      <c r="AM126" s="51">
        <f t="shared" si="73"/>
        <v>0</v>
      </c>
    </row>
    <row r="127" spans="1:39" s="50" customFormat="1" ht="11.25" hidden="1">
      <c r="A127" s="48" t="s">
        <v>232</v>
      </c>
      <c r="B127" s="49"/>
      <c r="C127" s="50" t="s">
        <v>233</v>
      </c>
      <c r="D127" s="51"/>
      <c r="E127" s="51"/>
      <c r="F127" s="51"/>
      <c r="G127" s="51"/>
      <c r="H127" s="51">
        <v>4500000</v>
      </c>
      <c r="I127" s="51"/>
      <c r="J127" s="51"/>
      <c r="K127" s="51">
        <f>4600000+900000</f>
        <v>5500000</v>
      </c>
      <c r="L127" s="52"/>
      <c r="M127" s="51"/>
      <c r="N127" s="53">
        <f t="shared" si="74"/>
        <v>0</v>
      </c>
      <c r="O127" s="51"/>
      <c r="P127" s="51"/>
      <c r="Q127" s="52" t="e">
        <f t="shared" si="86"/>
        <v>#DIV/0!</v>
      </c>
      <c r="R127" s="52"/>
      <c r="S127" s="51"/>
      <c r="T127" s="53">
        <f t="shared" si="75"/>
        <v>0</v>
      </c>
      <c r="U127" s="52" t="e">
        <f t="shared" si="79"/>
        <v>#DIV/0!</v>
      </c>
      <c r="V127" s="52" t="e">
        <f t="shared" si="80"/>
        <v>#DIV/0!</v>
      </c>
      <c r="W127" s="51"/>
      <c r="X127" s="52"/>
      <c r="Y127" s="51"/>
      <c r="Z127" s="52" t="e">
        <f t="shared" si="84"/>
        <v>#DIV/0!</v>
      </c>
      <c r="AA127" s="51"/>
      <c r="AB127" s="52" t="e">
        <f t="shared" si="85"/>
        <v>#DIV/0!</v>
      </c>
      <c r="AC127" s="31">
        <f t="shared" si="70"/>
        <v>0</v>
      </c>
      <c r="AD127" s="31">
        <f t="shared" si="71"/>
        <v>0</v>
      </c>
      <c r="AE127" s="31">
        <f t="shared" si="68"/>
        <v>0</v>
      </c>
      <c r="AF127" s="31">
        <f t="shared" si="69"/>
        <v>0</v>
      </c>
      <c r="AI127" s="51"/>
      <c r="AJ127" s="51"/>
      <c r="AK127" s="51"/>
      <c r="AL127" s="51">
        <f t="shared" si="72"/>
        <v>0</v>
      </c>
      <c r="AM127" s="51">
        <f t="shared" si="73"/>
        <v>0</v>
      </c>
    </row>
    <row r="128" spans="1:39" s="50" customFormat="1" ht="11.25" hidden="1">
      <c r="A128" s="48" t="s">
        <v>234</v>
      </c>
      <c r="B128" s="49"/>
      <c r="C128" s="50" t="s">
        <v>235</v>
      </c>
      <c r="D128" s="51"/>
      <c r="E128" s="51"/>
      <c r="F128" s="51"/>
      <c r="G128" s="51"/>
      <c r="H128" s="51"/>
      <c r="I128" s="51"/>
      <c r="J128" s="51"/>
      <c r="K128" s="51"/>
      <c r="L128" s="41"/>
      <c r="M128" s="51"/>
      <c r="N128" s="53">
        <f t="shared" si="74"/>
        <v>0</v>
      </c>
      <c r="O128" s="51"/>
      <c r="P128" s="51"/>
      <c r="Q128" s="41" t="e">
        <f t="shared" si="86"/>
        <v>#DIV/0!</v>
      </c>
      <c r="R128" s="41"/>
      <c r="S128" s="51"/>
      <c r="T128" s="53">
        <f t="shared" si="75"/>
        <v>0</v>
      </c>
      <c r="U128" s="41" t="e">
        <f t="shared" si="79"/>
        <v>#DIV/0!</v>
      </c>
      <c r="V128" s="41" t="e">
        <f t="shared" si="80"/>
        <v>#DIV/0!</v>
      </c>
      <c r="W128" s="51"/>
      <c r="X128" s="41"/>
      <c r="Y128" s="51"/>
      <c r="Z128" s="41" t="e">
        <f t="shared" si="84"/>
        <v>#DIV/0!</v>
      </c>
      <c r="AA128" s="51"/>
      <c r="AB128" s="41" t="e">
        <f t="shared" si="85"/>
        <v>#DIV/0!</v>
      </c>
      <c r="AC128" s="31">
        <f t="shared" si="70"/>
        <v>0</v>
      </c>
      <c r="AD128" s="31">
        <f t="shared" si="71"/>
        <v>0</v>
      </c>
      <c r="AE128" s="31">
        <f t="shared" si="68"/>
        <v>0</v>
      </c>
      <c r="AF128" s="31">
        <f t="shared" si="69"/>
        <v>0</v>
      </c>
      <c r="AI128" s="51"/>
      <c r="AJ128" s="51"/>
      <c r="AK128" s="51"/>
      <c r="AL128" s="51">
        <f t="shared" si="72"/>
        <v>0</v>
      </c>
      <c r="AM128" s="51">
        <f t="shared" si="73"/>
        <v>0</v>
      </c>
    </row>
    <row r="129" spans="1:39" s="50" customFormat="1" ht="11.25" hidden="1">
      <c r="A129" s="48" t="s">
        <v>236</v>
      </c>
      <c r="B129" s="49"/>
      <c r="C129" s="50" t="s">
        <v>237</v>
      </c>
      <c r="D129" s="51"/>
      <c r="E129" s="51"/>
      <c r="F129" s="51"/>
      <c r="G129" s="51"/>
      <c r="H129" s="51"/>
      <c r="I129" s="51"/>
      <c r="J129" s="51"/>
      <c r="K129" s="51"/>
      <c r="L129" s="41"/>
      <c r="M129" s="51"/>
      <c r="N129" s="53">
        <f t="shared" si="74"/>
        <v>0</v>
      </c>
      <c r="O129" s="51"/>
      <c r="P129" s="51"/>
      <c r="Q129" s="41" t="e">
        <f t="shared" si="86"/>
        <v>#DIV/0!</v>
      </c>
      <c r="R129" s="41"/>
      <c r="S129" s="51"/>
      <c r="T129" s="53">
        <f t="shared" si="75"/>
        <v>0</v>
      </c>
      <c r="U129" s="41" t="e">
        <f t="shared" si="79"/>
        <v>#DIV/0!</v>
      </c>
      <c r="V129" s="41" t="e">
        <f t="shared" si="80"/>
        <v>#DIV/0!</v>
      </c>
      <c r="W129" s="51"/>
      <c r="X129" s="41"/>
      <c r="Y129" s="51"/>
      <c r="Z129" s="41" t="e">
        <f t="shared" si="84"/>
        <v>#DIV/0!</v>
      </c>
      <c r="AA129" s="51"/>
      <c r="AB129" s="41" t="e">
        <f t="shared" si="85"/>
        <v>#DIV/0!</v>
      </c>
      <c r="AC129" s="31">
        <f t="shared" si="70"/>
        <v>0</v>
      </c>
      <c r="AD129" s="31">
        <f t="shared" si="71"/>
        <v>0</v>
      </c>
      <c r="AE129" s="31">
        <f t="shared" si="68"/>
        <v>0</v>
      </c>
      <c r="AF129" s="31">
        <f t="shared" si="69"/>
        <v>0</v>
      </c>
      <c r="AI129" s="51"/>
      <c r="AJ129" s="51"/>
      <c r="AK129" s="51"/>
      <c r="AL129" s="51">
        <f t="shared" si="72"/>
        <v>0</v>
      </c>
      <c r="AM129" s="51">
        <f t="shared" si="73"/>
        <v>0</v>
      </c>
    </row>
    <row r="130" spans="1:39" s="40" customFormat="1" ht="12.75" customHeight="1">
      <c r="A130" s="39" t="s">
        <v>238</v>
      </c>
      <c r="C130" s="40" t="s">
        <v>239</v>
      </c>
      <c r="D130" s="31"/>
      <c r="E130" s="31"/>
      <c r="F130" s="31"/>
      <c r="G130" s="31"/>
      <c r="H130" s="31"/>
      <c r="I130" s="31">
        <v>15000000</v>
      </c>
      <c r="J130" s="31">
        <v>12830752.6</v>
      </c>
      <c r="K130" s="31"/>
      <c r="L130" s="41"/>
      <c r="M130" s="31">
        <v>13800000</v>
      </c>
      <c r="N130" s="42">
        <f t="shared" si="74"/>
        <v>0.001018879745480839</v>
      </c>
      <c r="O130" s="31">
        <f>13800000-1800000</f>
        <v>12000000</v>
      </c>
      <c r="P130" s="31"/>
      <c r="Q130" s="41">
        <f t="shared" si="86"/>
        <v>93.52530108015644</v>
      </c>
      <c r="R130" s="41">
        <f>O130/M130*100</f>
        <v>86.95652173913044</v>
      </c>
      <c r="S130" s="31">
        <f>11800000+2000000-800000</f>
        <v>13000000</v>
      </c>
      <c r="T130" s="42">
        <f t="shared" si="75"/>
        <v>0.0008946418827512697</v>
      </c>
      <c r="U130" s="41">
        <f t="shared" si="79"/>
        <v>94.20289855072464</v>
      </c>
      <c r="V130" s="41">
        <f t="shared" si="80"/>
        <v>108.33333333333333</v>
      </c>
      <c r="W130" s="31">
        <f>11800000+2000000</f>
        <v>13800000</v>
      </c>
      <c r="X130" s="41">
        <f>W130/S130*100</f>
        <v>106.15384615384616</v>
      </c>
      <c r="Y130" s="31">
        <v>14300000</v>
      </c>
      <c r="Z130" s="41">
        <f t="shared" si="84"/>
        <v>103.6231884057971</v>
      </c>
      <c r="AA130" s="31">
        <v>14700000</v>
      </c>
      <c r="AB130" s="41">
        <f t="shared" si="85"/>
        <v>102.79720279720279</v>
      </c>
      <c r="AC130" s="31">
        <f t="shared" si="70"/>
        <v>14282999.999999998</v>
      </c>
      <c r="AD130" s="31">
        <f t="shared" si="71"/>
        <v>14714699.999999998</v>
      </c>
      <c r="AE130" s="31">
        <f t="shared" si="68"/>
        <v>14586600</v>
      </c>
      <c r="AF130" s="31">
        <f t="shared" si="69"/>
        <v>13585000</v>
      </c>
      <c r="AI130" s="31">
        <f>11800000+2000000</f>
        <v>13800000</v>
      </c>
      <c r="AJ130" s="31">
        <f>11800000+2000000</f>
        <v>13800000</v>
      </c>
      <c r="AK130" s="31">
        <f>11800000+2000000-800000</f>
        <v>13000000</v>
      </c>
      <c r="AL130" s="31">
        <f t="shared" si="72"/>
        <v>0</v>
      </c>
      <c r="AM130" s="31">
        <f t="shared" si="73"/>
        <v>-800000</v>
      </c>
    </row>
    <row r="131" spans="1:39" s="40" customFormat="1" ht="12.75" customHeight="1">
      <c r="A131" s="39" t="s">
        <v>240</v>
      </c>
      <c r="C131" s="40" t="s">
        <v>241</v>
      </c>
      <c r="D131" s="31"/>
      <c r="E131" s="31"/>
      <c r="F131" s="31"/>
      <c r="G131" s="31">
        <f>SUM(G132:G141)</f>
        <v>87368873</v>
      </c>
      <c r="H131" s="31">
        <f>SUM(H132:H141)</f>
        <v>107000000</v>
      </c>
      <c r="I131" s="31">
        <f>SUM(I132:I141)</f>
        <v>106000000</v>
      </c>
      <c r="J131" s="31">
        <f>SUM(J132:J141)</f>
        <v>112260289.29</v>
      </c>
      <c r="K131" s="31">
        <f>SUM(K132:K141)</f>
        <v>112600000</v>
      </c>
      <c r="L131" s="41">
        <f>K131/J131*100</f>
        <v>100.30260986511661</v>
      </c>
      <c r="M131" s="31">
        <f>SUM(M132:M141)</f>
        <v>112600000</v>
      </c>
      <c r="N131" s="42">
        <f t="shared" si="74"/>
        <v>0.00831346806819873</v>
      </c>
      <c r="O131" s="31">
        <f>SUM(O132:O141)</f>
        <v>112900000</v>
      </c>
      <c r="P131" s="31"/>
      <c r="Q131" s="41">
        <f t="shared" si="86"/>
        <v>100.5698459482386</v>
      </c>
      <c r="R131" s="41">
        <f>O131/M131*100</f>
        <v>100.2664298401421</v>
      </c>
      <c r="S131" s="31">
        <f>SUM(S132:S141)</f>
        <v>132200000</v>
      </c>
      <c r="T131" s="42">
        <f t="shared" si="75"/>
        <v>0.009097819761516758</v>
      </c>
      <c r="U131" s="41">
        <f t="shared" si="79"/>
        <v>117.40674955595027</v>
      </c>
      <c r="V131" s="41">
        <f t="shared" si="80"/>
        <v>117.0947741364039</v>
      </c>
      <c r="W131" s="31">
        <f>SUM(W132:W141)</f>
        <v>132900000</v>
      </c>
      <c r="X131" s="41">
        <f>W131/S131*100</f>
        <v>100.52950075642966</v>
      </c>
      <c r="Y131" s="31">
        <f>SUM(Y132:Y141)</f>
        <v>123100000</v>
      </c>
      <c r="Z131" s="41">
        <f t="shared" si="84"/>
        <v>92.6260346124906</v>
      </c>
      <c r="AA131" s="31">
        <f>SUM(AA132:AA141)</f>
        <v>126100000</v>
      </c>
      <c r="AB131" s="41">
        <f t="shared" si="85"/>
        <v>102.43704305442729</v>
      </c>
      <c r="AC131" s="31">
        <f t="shared" si="70"/>
        <v>137551500</v>
      </c>
      <c r="AD131" s="31">
        <f t="shared" si="71"/>
        <v>126669899.99999999</v>
      </c>
      <c r="AE131" s="31">
        <f t="shared" si="68"/>
        <v>119018200</v>
      </c>
      <c r="AF131" s="31">
        <f t="shared" si="69"/>
        <v>138149000</v>
      </c>
      <c r="AI131" s="31">
        <f>SUM(AI132:AI141)</f>
        <v>115600000</v>
      </c>
      <c r="AJ131" s="31">
        <f>SUM(AJ132:AJ141)</f>
        <v>118100000</v>
      </c>
      <c r="AK131" s="31">
        <f>SUM(AK132:AK141)</f>
        <v>132200000</v>
      </c>
      <c r="AL131" s="31">
        <f t="shared" si="72"/>
        <v>2500000</v>
      </c>
      <c r="AM131" s="31">
        <f t="shared" si="73"/>
        <v>14100000</v>
      </c>
    </row>
    <row r="132" spans="1:39" s="50" customFormat="1" ht="11.25" hidden="1">
      <c r="A132" s="48" t="s">
        <v>242</v>
      </c>
      <c r="B132" s="49"/>
      <c r="C132" s="50" t="s">
        <v>243</v>
      </c>
      <c r="D132" s="51"/>
      <c r="E132" s="51"/>
      <c r="F132" s="51"/>
      <c r="G132" s="51"/>
      <c r="H132" s="51"/>
      <c r="I132" s="51"/>
      <c r="J132" s="51"/>
      <c r="K132" s="51"/>
      <c r="L132" s="41"/>
      <c r="M132" s="51"/>
      <c r="N132" s="53">
        <f t="shared" si="74"/>
        <v>0</v>
      </c>
      <c r="O132" s="51"/>
      <c r="P132" s="51"/>
      <c r="Q132" s="41" t="e">
        <f t="shared" si="86"/>
        <v>#DIV/0!</v>
      </c>
      <c r="R132" s="41"/>
      <c r="S132" s="51"/>
      <c r="T132" s="53">
        <f t="shared" si="75"/>
        <v>0</v>
      </c>
      <c r="U132" s="41" t="e">
        <f t="shared" si="79"/>
        <v>#DIV/0!</v>
      </c>
      <c r="V132" s="41" t="e">
        <f t="shared" si="80"/>
        <v>#DIV/0!</v>
      </c>
      <c r="W132" s="51"/>
      <c r="X132" s="41"/>
      <c r="Y132" s="51"/>
      <c r="Z132" s="41" t="e">
        <f t="shared" si="84"/>
        <v>#DIV/0!</v>
      </c>
      <c r="AA132" s="51"/>
      <c r="AB132" s="41" t="e">
        <f t="shared" si="85"/>
        <v>#DIV/0!</v>
      </c>
      <c r="AC132" s="31">
        <f t="shared" si="70"/>
        <v>0</v>
      </c>
      <c r="AD132" s="31">
        <f t="shared" si="71"/>
        <v>0</v>
      </c>
      <c r="AE132" s="31">
        <f aca="true" t="shared" si="87" ref="AE132:AE163">M132*1.057</f>
        <v>0</v>
      </c>
      <c r="AF132" s="31">
        <f aca="true" t="shared" si="88" ref="AF132:AF163">S132*1.045</f>
        <v>0</v>
      </c>
      <c r="AI132" s="51"/>
      <c r="AJ132" s="51"/>
      <c r="AK132" s="51"/>
      <c r="AL132" s="51">
        <f t="shared" si="72"/>
        <v>0</v>
      </c>
      <c r="AM132" s="51">
        <f t="shared" si="73"/>
        <v>0</v>
      </c>
    </row>
    <row r="133" spans="1:39" s="50" customFormat="1" ht="11.25">
      <c r="A133" s="48" t="s">
        <v>244</v>
      </c>
      <c r="B133" s="49"/>
      <c r="C133" s="50" t="s">
        <v>245</v>
      </c>
      <c r="D133" s="51"/>
      <c r="E133" s="51"/>
      <c r="F133" s="51"/>
      <c r="G133" s="51">
        <v>43664981</v>
      </c>
      <c r="H133" s="51">
        <v>54000000</v>
      </c>
      <c r="I133" s="51">
        <v>54000000</v>
      </c>
      <c r="J133" s="51">
        <v>57453999.1</v>
      </c>
      <c r="K133" s="51">
        <v>55000000</v>
      </c>
      <c r="L133" s="52">
        <f>K133/J133*100</f>
        <v>95.72875841814117</v>
      </c>
      <c r="M133" s="51">
        <v>55000000</v>
      </c>
      <c r="N133" s="53">
        <f t="shared" si="74"/>
        <v>0.004060752608800446</v>
      </c>
      <c r="O133" s="51">
        <v>55000000</v>
      </c>
      <c r="P133" s="51"/>
      <c r="Q133" s="52">
        <f t="shared" si="86"/>
        <v>95.72875841814117</v>
      </c>
      <c r="R133" s="52">
        <f>O133/M133*100</f>
        <v>100</v>
      </c>
      <c r="S133" s="51">
        <f>52000000+2000000</f>
        <v>54000000</v>
      </c>
      <c r="T133" s="53">
        <f t="shared" si="75"/>
        <v>0.0037162047437360435</v>
      </c>
      <c r="U133" s="52">
        <f t="shared" si="79"/>
        <v>98.18181818181819</v>
      </c>
      <c r="V133" s="52">
        <f t="shared" si="80"/>
        <v>98.18181818181819</v>
      </c>
      <c r="W133" s="51">
        <f>52000000+2000000</f>
        <v>54000000</v>
      </c>
      <c r="X133" s="52">
        <f>W133/S133*100</f>
        <v>100</v>
      </c>
      <c r="Y133" s="51">
        <v>54000000</v>
      </c>
      <c r="Z133" s="52">
        <f t="shared" si="84"/>
        <v>100</v>
      </c>
      <c r="AA133" s="51">
        <v>55000000</v>
      </c>
      <c r="AB133" s="52">
        <f t="shared" si="85"/>
        <v>101.85185185185186</v>
      </c>
      <c r="AC133" s="31">
        <f t="shared" si="70"/>
        <v>55889999.99999999</v>
      </c>
      <c r="AD133" s="31">
        <f t="shared" si="71"/>
        <v>55565999.99999999</v>
      </c>
      <c r="AE133" s="31">
        <f t="shared" si="87"/>
        <v>58135000</v>
      </c>
      <c r="AF133" s="31">
        <f t="shared" si="88"/>
        <v>56429999.99999999</v>
      </c>
      <c r="AI133" s="51">
        <v>52000000</v>
      </c>
      <c r="AJ133" s="51">
        <v>52000000</v>
      </c>
      <c r="AK133" s="51">
        <f>52000000+2000000</f>
        <v>54000000</v>
      </c>
      <c r="AL133" s="51">
        <f t="shared" si="72"/>
        <v>0</v>
      </c>
      <c r="AM133" s="51">
        <f t="shared" si="73"/>
        <v>2000000</v>
      </c>
    </row>
    <row r="134" spans="1:39" s="50" customFormat="1" ht="11.25">
      <c r="A134" s="48" t="s">
        <v>246</v>
      </c>
      <c r="B134" s="49"/>
      <c r="C134" s="50" t="s">
        <v>247</v>
      </c>
      <c r="D134" s="51"/>
      <c r="E134" s="51"/>
      <c r="F134" s="51"/>
      <c r="G134" s="51"/>
      <c r="H134" s="51"/>
      <c r="I134" s="51">
        <v>5000000</v>
      </c>
      <c r="J134" s="51">
        <v>3727399.61</v>
      </c>
      <c r="K134" s="51">
        <v>6000000</v>
      </c>
      <c r="L134" s="52">
        <f>K134/J134*100</f>
        <v>160.97013005804334</v>
      </c>
      <c r="M134" s="51">
        <v>6000000</v>
      </c>
      <c r="N134" s="53">
        <f t="shared" si="74"/>
        <v>0.00044299119368732134</v>
      </c>
      <c r="O134" s="51">
        <f>5000000-400000</f>
        <v>4600000</v>
      </c>
      <c r="P134" s="51"/>
      <c r="Q134" s="52">
        <f t="shared" si="86"/>
        <v>123.4104330444999</v>
      </c>
      <c r="R134" s="52">
        <f>O134/M134*100</f>
        <v>76.66666666666667</v>
      </c>
      <c r="S134" s="51">
        <f>5000000+1000000-1000000</f>
        <v>5000000</v>
      </c>
      <c r="T134" s="53">
        <f t="shared" si="75"/>
        <v>0.00034409303182741143</v>
      </c>
      <c r="U134" s="52">
        <f t="shared" si="79"/>
        <v>83.33333333333334</v>
      </c>
      <c r="V134" s="52">
        <f t="shared" si="80"/>
        <v>108.69565217391303</v>
      </c>
      <c r="W134" s="51">
        <v>5000000</v>
      </c>
      <c r="X134" s="52">
        <f>W134/S134*100</f>
        <v>100</v>
      </c>
      <c r="Y134" s="51">
        <v>5200000</v>
      </c>
      <c r="Z134" s="52">
        <f t="shared" si="84"/>
        <v>104</v>
      </c>
      <c r="AA134" s="51">
        <v>5400000</v>
      </c>
      <c r="AB134" s="52">
        <f t="shared" si="85"/>
        <v>103.84615384615385</v>
      </c>
      <c r="AC134" s="31">
        <f t="shared" si="70"/>
        <v>5175000</v>
      </c>
      <c r="AD134" s="31">
        <f t="shared" si="71"/>
        <v>5350800</v>
      </c>
      <c r="AE134" s="31">
        <f t="shared" si="87"/>
        <v>6342000</v>
      </c>
      <c r="AF134" s="31">
        <f t="shared" si="88"/>
        <v>5225000</v>
      </c>
      <c r="AI134" s="51">
        <f>5000000</f>
        <v>5000000</v>
      </c>
      <c r="AJ134" s="51">
        <f>5000000+1000000</f>
        <v>6000000</v>
      </c>
      <c r="AK134" s="51">
        <f>5000000+1000000-1000000</f>
        <v>5000000</v>
      </c>
      <c r="AL134" s="51">
        <f t="shared" si="72"/>
        <v>1000000</v>
      </c>
      <c r="AM134" s="51">
        <f t="shared" si="73"/>
        <v>-1000000</v>
      </c>
    </row>
    <row r="135" spans="1:39" s="50" customFormat="1" ht="11.25">
      <c r="A135" s="48" t="s">
        <v>248</v>
      </c>
      <c r="B135" s="49"/>
      <c r="C135" s="50" t="s">
        <v>249</v>
      </c>
      <c r="D135" s="51"/>
      <c r="E135" s="51">
        <v>20840942</v>
      </c>
      <c r="F135" s="51"/>
      <c r="G135" s="51">
        <v>35982054</v>
      </c>
      <c r="H135" s="51">
        <v>35000000</v>
      </c>
      <c r="I135" s="51">
        <v>35000000</v>
      </c>
      <c r="J135" s="51">
        <f>35968201.35+1455636</f>
        <v>37423837.35</v>
      </c>
      <c r="K135" s="51">
        <f>35000000+2100000</f>
        <v>37100000</v>
      </c>
      <c r="L135" s="52">
        <f>K135/J135*100</f>
        <v>99.13467625735072</v>
      </c>
      <c r="M135" s="51">
        <f>35000000+2100000</f>
        <v>37100000</v>
      </c>
      <c r="N135" s="53">
        <f t="shared" si="74"/>
        <v>0.002739162214299937</v>
      </c>
      <c r="O135" s="51">
        <f>35000000+2100000</f>
        <v>37100000</v>
      </c>
      <c r="P135" s="51"/>
      <c r="Q135" s="52">
        <f t="shared" si="86"/>
        <v>99.13467625735072</v>
      </c>
      <c r="R135" s="52">
        <f>O135/M135*100</f>
        <v>100</v>
      </c>
      <c r="S135" s="51">
        <f>35000000+2100000+13100000</f>
        <v>50200000</v>
      </c>
      <c r="T135" s="53">
        <f t="shared" si="75"/>
        <v>0.003454694039547211</v>
      </c>
      <c r="U135" s="52">
        <f t="shared" si="79"/>
        <v>135.30997304582212</v>
      </c>
      <c r="V135" s="52">
        <f t="shared" si="80"/>
        <v>135.30997304582212</v>
      </c>
      <c r="W135" s="51">
        <f>35000000+2100000+13100000</f>
        <v>50200000</v>
      </c>
      <c r="X135" s="52">
        <f>W135/S135*100</f>
        <v>100</v>
      </c>
      <c r="Y135" s="51">
        <f>38400000+1000000</f>
        <v>39400000</v>
      </c>
      <c r="Z135" s="52">
        <f t="shared" si="84"/>
        <v>78.48605577689243</v>
      </c>
      <c r="AA135" s="51">
        <f>39500000+1000000</f>
        <v>40500000</v>
      </c>
      <c r="AB135" s="52">
        <f t="shared" si="85"/>
        <v>102.79187817258884</v>
      </c>
      <c r="AC135" s="31">
        <f aca="true" t="shared" si="89" ref="AC135:AC166">W135*1.035</f>
        <v>51956999.99999999</v>
      </c>
      <c r="AD135" s="31">
        <f aca="true" t="shared" si="90" ref="AD135:AD166">Y135*1.029</f>
        <v>40542600</v>
      </c>
      <c r="AE135" s="31">
        <f t="shared" si="87"/>
        <v>39214700</v>
      </c>
      <c r="AF135" s="31">
        <f t="shared" si="88"/>
        <v>52459000</v>
      </c>
      <c r="AI135" s="51">
        <f>35000000+2100000</f>
        <v>37100000</v>
      </c>
      <c r="AJ135" s="51">
        <f>35000000+2100000</f>
        <v>37100000</v>
      </c>
      <c r="AK135" s="51">
        <f>35000000+2100000+13100000</f>
        <v>50200000</v>
      </c>
      <c r="AL135" s="51">
        <f t="shared" si="72"/>
        <v>0</v>
      </c>
      <c r="AM135" s="51">
        <f t="shared" si="73"/>
        <v>13100000</v>
      </c>
    </row>
    <row r="136" spans="1:39" s="50" customFormat="1" ht="11.25">
      <c r="A136" s="48" t="s">
        <v>250</v>
      </c>
      <c r="B136" s="49"/>
      <c r="C136" s="50" t="s">
        <v>251</v>
      </c>
      <c r="D136" s="51"/>
      <c r="E136" s="51"/>
      <c r="F136" s="51"/>
      <c r="G136" s="51">
        <v>1516326</v>
      </c>
      <c r="H136" s="51">
        <v>4000000</v>
      </c>
      <c r="I136" s="51">
        <v>6000000</v>
      </c>
      <c r="J136" s="51">
        <v>9528951.4</v>
      </c>
      <c r="K136" s="51">
        <f>6000000+2500000</f>
        <v>8500000</v>
      </c>
      <c r="L136" s="52">
        <f>K136/J136*100</f>
        <v>89.20184019408474</v>
      </c>
      <c r="M136" s="51">
        <f>6000000+2500000</f>
        <v>8500000</v>
      </c>
      <c r="N136" s="53">
        <f t="shared" si="74"/>
        <v>0.0006275708577237052</v>
      </c>
      <c r="O136" s="51">
        <f>6000000+2500000+100000</f>
        <v>8600000</v>
      </c>
      <c r="P136" s="51"/>
      <c r="Q136" s="52">
        <f t="shared" si="86"/>
        <v>90.25127360813279</v>
      </c>
      <c r="R136" s="52">
        <f>O136/M136*100</f>
        <v>101.17647058823529</v>
      </c>
      <c r="S136" s="51">
        <f>6000000+2500000+500000</f>
        <v>9000000</v>
      </c>
      <c r="T136" s="53">
        <f t="shared" si="75"/>
        <v>0.0006193674572893406</v>
      </c>
      <c r="U136" s="52">
        <f t="shared" si="79"/>
        <v>105.88235294117648</v>
      </c>
      <c r="V136" s="52">
        <f t="shared" si="80"/>
        <v>104.65116279069768</v>
      </c>
      <c r="W136" s="51">
        <f>6000000+2500000+900000</f>
        <v>9400000</v>
      </c>
      <c r="X136" s="52">
        <f>W136/S136*100</f>
        <v>104.44444444444446</v>
      </c>
      <c r="Y136" s="51">
        <f>8800000+900000</f>
        <v>9700000</v>
      </c>
      <c r="Z136" s="52">
        <f t="shared" si="84"/>
        <v>103.19148936170212</v>
      </c>
      <c r="AA136" s="51">
        <f>9100000+900000</f>
        <v>10000000</v>
      </c>
      <c r="AB136" s="52">
        <f t="shared" si="85"/>
        <v>103.09278350515463</v>
      </c>
      <c r="AC136" s="31">
        <f t="shared" si="89"/>
        <v>9729000</v>
      </c>
      <c r="AD136" s="31">
        <f t="shared" si="90"/>
        <v>9981300</v>
      </c>
      <c r="AE136" s="31">
        <f t="shared" si="87"/>
        <v>8984500</v>
      </c>
      <c r="AF136" s="31">
        <f t="shared" si="88"/>
        <v>9405000</v>
      </c>
      <c r="AI136" s="51">
        <f>6000000+2500000</f>
        <v>8500000</v>
      </c>
      <c r="AJ136" s="51">
        <f>6000000+2500000+500000</f>
        <v>9000000</v>
      </c>
      <c r="AK136" s="51">
        <f>6000000+2500000+500000</f>
        <v>9000000</v>
      </c>
      <c r="AL136" s="51">
        <f t="shared" si="72"/>
        <v>500000</v>
      </c>
      <c r="AM136" s="51">
        <f t="shared" si="73"/>
        <v>0</v>
      </c>
    </row>
    <row r="137" spans="1:39" s="50" customFormat="1" ht="11.25" hidden="1">
      <c r="A137" s="48" t="s">
        <v>252</v>
      </c>
      <c r="B137" s="49"/>
      <c r="C137" s="50" t="s">
        <v>253</v>
      </c>
      <c r="D137" s="51"/>
      <c r="E137" s="51"/>
      <c r="F137" s="51"/>
      <c r="G137" s="51"/>
      <c r="H137" s="51"/>
      <c r="I137" s="51"/>
      <c r="J137" s="51"/>
      <c r="K137" s="51"/>
      <c r="L137" s="52"/>
      <c r="M137" s="51"/>
      <c r="N137" s="53">
        <f t="shared" si="74"/>
        <v>0</v>
      </c>
      <c r="O137" s="51"/>
      <c r="P137" s="51"/>
      <c r="Q137" s="52" t="e">
        <f t="shared" si="86"/>
        <v>#DIV/0!</v>
      </c>
      <c r="R137" s="52"/>
      <c r="S137" s="51"/>
      <c r="T137" s="53">
        <f t="shared" si="75"/>
        <v>0</v>
      </c>
      <c r="U137" s="52" t="e">
        <f t="shared" si="79"/>
        <v>#DIV/0!</v>
      </c>
      <c r="V137" s="52" t="e">
        <f t="shared" si="80"/>
        <v>#DIV/0!</v>
      </c>
      <c r="W137" s="51"/>
      <c r="X137" s="52"/>
      <c r="Y137" s="51"/>
      <c r="Z137" s="52" t="e">
        <f t="shared" si="84"/>
        <v>#DIV/0!</v>
      </c>
      <c r="AA137" s="51"/>
      <c r="AB137" s="52" t="e">
        <f t="shared" si="85"/>
        <v>#DIV/0!</v>
      </c>
      <c r="AC137" s="31">
        <f t="shared" si="89"/>
        <v>0</v>
      </c>
      <c r="AD137" s="31">
        <f t="shared" si="90"/>
        <v>0</v>
      </c>
      <c r="AE137" s="31">
        <f t="shared" si="87"/>
        <v>0</v>
      </c>
      <c r="AF137" s="31">
        <f t="shared" si="88"/>
        <v>0</v>
      </c>
      <c r="AI137" s="51"/>
      <c r="AJ137" s="51"/>
      <c r="AK137" s="51"/>
      <c r="AL137" s="51">
        <f t="shared" si="72"/>
        <v>0</v>
      </c>
      <c r="AM137" s="51">
        <f t="shared" si="73"/>
        <v>0</v>
      </c>
    </row>
    <row r="138" spans="1:39" s="50" customFormat="1" ht="11.25">
      <c r="A138" s="48" t="s">
        <v>254</v>
      </c>
      <c r="B138" s="49"/>
      <c r="C138" s="50" t="s">
        <v>255</v>
      </c>
      <c r="D138" s="51"/>
      <c r="E138" s="51">
        <v>3598542</v>
      </c>
      <c r="F138" s="51"/>
      <c r="G138" s="51">
        <v>6205512</v>
      </c>
      <c r="H138" s="51">
        <v>6000000</v>
      </c>
      <c r="I138" s="51">
        <v>6000000</v>
      </c>
      <c r="J138" s="51">
        <v>4126101.83</v>
      </c>
      <c r="K138" s="51">
        <v>6000000</v>
      </c>
      <c r="L138" s="52">
        <f>K138/J138*100</f>
        <v>145.41570342193907</v>
      </c>
      <c r="M138" s="51">
        <v>6000000</v>
      </c>
      <c r="N138" s="53">
        <f t="shared" si="74"/>
        <v>0.00044299119368732134</v>
      </c>
      <c r="O138" s="51">
        <f>5000000+2600000</f>
        <v>7600000</v>
      </c>
      <c r="P138" s="51"/>
      <c r="Q138" s="52">
        <f t="shared" si="86"/>
        <v>184.19322433445612</v>
      </c>
      <c r="R138" s="52">
        <f>O138/M138*100</f>
        <v>126.66666666666666</v>
      </c>
      <c r="S138" s="51">
        <f>5000000+1000000</f>
        <v>6000000</v>
      </c>
      <c r="T138" s="53">
        <f t="shared" si="75"/>
        <v>0.00041291163819289373</v>
      </c>
      <c r="U138" s="52">
        <f t="shared" si="79"/>
        <v>100</v>
      </c>
      <c r="V138" s="52">
        <f t="shared" si="80"/>
        <v>78.94736842105263</v>
      </c>
      <c r="W138" s="51">
        <f>5000000+1300000</f>
        <v>6300000</v>
      </c>
      <c r="X138" s="52">
        <f aca="true" t="shared" si="91" ref="X138:X147">W138/S138*100</f>
        <v>105</v>
      </c>
      <c r="Y138" s="51">
        <f>5200000+1300000</f>
        <v>6500000</v>
      </c>
      <c r="Z138" s="52">
        <f t="shared" si="84"/>
        <v>103.17460317460319</v>
      </c>
      <c r="AA138" s="51">
        <f>5400000+1300000</f>
        <v>6700000</v>
      </c>
      <c r="AB138" s="52">
        <f t="shared" si="85"/>
        <v>103.07692307692307</v>
      </c>
      <c r="AC138" s="31">
        <f t="shared" si="89"/>
        <v>6520499.999999999</v>
      </c>
      <c r="AD138" s="31">
        <f t="shared" si="90"/>
        <v>6688499.999999999</v>
      </c>
      <c r="AE138" s="31">
        <f t="shared" si="87"/>
        <v>6342000</v>
      </c>
      <c r="AF138" s="31">
        <f t="shared" si="88"/>
        <v>6270000</v>
      </c>
      <c r="AI138" s="51">
        <f>5000000</f>
        <v>5000000</v>
      </c>
      <c r="AJ138" s="51">
        <f>5000000+1000000</f>
        <v>6000000</v>
      </c>
      <c r="AK138" s="51">
        <f>5000000+1000000</f>
        <v>6000000</v>
      </c>
      <c r="AL138" s="51">
        <f t="shared" si="72"/>
        <v>1000000</v>
      </c>
      <c r="AM138" s="51">
        <f t="shared" si="73"/>
        <v>0</v>
      </c>
    </row>
    <row r="139" spans="1:39" s="50" customFormat="1" ht="11.25" hidden="1">
      <c r="A139" s="48" t="s">
        <v>256</v>
      </c>
      <c r="B139" s="49"/>
      <c r="C139" s="50" t="s">
        <v>257</v>
      </c>
      <c r="D139" s="51"/>
      <c r="E139" s="51"/>
      <c r="F139" s="51"/>
      <c r="G139" s="51"/>
      <c r="H139" s="51"/>
      <c r="I139" s="51"/>
      <c r="J139" s="51"/>
      <c r="K139" s="51"/>
      <c r="L139" s="52"/>
      <c r="M139" s="51"/>
      <c r="N139" s="53">
        <f t="shared" si="74"/>
        <v>0</v>
      </c>
      <c r="O139" s="51"/>
      <c r="P139" s="51"/>
      <c r="Q139" s="52" t="e">
        <f t="shared" si="86"/>
        <v>#DIV/0!</v>
      </c>
      <c r="R139" s="52"/>
      <c r="S139" s="51"/>
      <c r="T139" s="53">
        <f t="shared" si="75"/>
        <v>0</v>
      </c>
      <c r="U139" s="52" t="e">
        <f t="shared" si="79"/>
        <v>#DIV/0!</v>
      </c>
      <c r="V139" s="52" t="e">
        <f t="shared" si="80"/>
        <v>#DIV/0!</v>
      </c>
      <c r="W139" s="51"/>
      <c r="X139" s="52" t="e">
        <f t="shared" si="91"/>
        <v>#DIV/0!</v>
      </c>
      <c r="Y139" s="51"/>
      <c r="Z139" s="52" t="e">
        <f t="shared" si="84"/>
        <v>#DIV/0!</v>
      </c>
      <c r="AA139" s="51"/>
      <c r="AB139" s="52" t="e">
        <f t="shared" si="85"/>
        <v>#DIV/0!</v>
      </c>
      <c r="AC139" s="31">
        <f t="shared" si="89"/>
        <v>0</v>
      </c>
      <c r="AD139" s="31">
        <f t="shared" si="90"/>
        <v>0</v>
      </c>
      <c r="AE139" s="31">
        <f t="shared" si="87"/>
        <v>0</v>
      </c>
      <c r="AF139" s="31">
        <f t="shared" si="88"/>
        <v>0</v>
      </c>
      <c r="AI139" s="51"/>
      <c r="AJ139" s="51"/>
      <c r="AK139" s="51"/>
      <c r="AL139" s="51">
        <f t="shared" si="72"/>
        <v>0</v>
      </c>
      <c r="AM139" s="51">
        <f t="shared" si="73"/>
        <v>0</v>
      </c>
    </row>
    <row r="140" spans="1:39" s="50" customFormat="1" ht="11.25" hidden="1">
      <c r="A140" s="48" t="s">
        <v>258</v>
      </c>
      <c r="B140" s="49"/>
      <c r="C140" s="50" t="s">
        <v>259</v>
      </c>
      <c r="D140" s="51"/>
      <c r="E140" s="51"/>
      <c r="F140" s="51"/>
      <c r="G140" s="51"/>
      <c r="H140" s="51"/>
      <c r="I140" s="51"/>
      <c r="J140" s="51"/>
      <c r="K140" s="51"/>
      <c r="L140" s="52"/>
      <c r="M140" s="51"/>
      <c r="N140" s="53">
        <f t="shared" si="74"/>
        <v>0</v>
      </c>
      <c r="O140" s="51"/>
      <c r="P140" s="51"/>
      <c r="Q140" s="52" t="e">
        <f t="shared" si="86"/>
        <v>#DIV/0!</v>
      </c>
      <c r="R140" s="52"/>
      <c r="S140" s="51"/>
      <c r="T140" s="53">
        <f t="shared" si="75"/>
        <v>0</v>
      </c>
      <c r="U140" s="52" t="e">
        <f t="shared" si="79"/>
        <v>#DIV/0!</v>
      </c>
      <c r="V140" s="52" t="e">
        <f t="shared" si="80"/>
        <v>#DIV/0!</v>
      </c>
      <c r="W140" s="51"/>
      <c r="X140" s="52" t="e">
        <f t="shared" si="91"/>
        <v>#DIV/0!</v>
      </c>
      <c r="Y140" s="51"/>
      <c r="Z140" s="52" t="e">
        <f t="shared" si="84"/>
        <v>#DIV/0!</v>
      </c>
      <c r="AA140" s="51"/>
      <c r="AB140" s="52" t="e">
        <f t="shared" si="85"/>
        <v>#DIV/0!</v>
      </c>
      <c r="AC140" s="31">
        <f t="shared" si="89"/>
        <v>0</v>
      </c>
      <c r="AD140" s="31">
        <f t="shared" si="90"/>
        <v>0</v>
      </c>
      <c r="AE140" s="31">
        <f t="shared" si="87"/>
        <v>0</v>
      </c>
      <c r="AF140" s="31">
        <f t="shared" si="88"/>
        <v>0</v>
      </c>
      <c r="AI140" s="51"/>
      <c r="AJ140" s="51"/>
      <c r="AK140" s="51"/>
      <c r="AL140" s="51">
        <f t="shared" si="72"/>
        <v>0</v>
      </c>
      <c r="AM140" s="51">
        <f t="shared" si="73"/>
        <v>0</v>
      </c>
    </row>
    <row r="141" spans="1:39" s="50" customFormat="1" ht="11.25">
      <c r="A141" s="48" t="s">
        <v>260</v>
      </c>
      <c r="B141" s="49"/>
      <c r="C141" s="50" t="s">
        <v>261</v>
      </c>
      <c r="D141" s="51"/>
      <c r="E141" s="51"/>
      <c r="F141" s="51"/>
      <c r="G141" s="51"/>
      <c r="H141" s="51">
        <v>8000000</v>
      </c>
      <c r="I141" s="51"/>
      <c r="J141" s="51"/>
      <c r="K141" s="51"/>
      <c r="L141" s="52"/>
      <c r="M141" s="51"/>
      <c r="N141" s="53">
        <f t="shared" si="74"/>
        <v>0</v>
      </c>
      <c r="O141" s="51"/>
      <c r="P141" s="51"/>
      <c r="Q141" s="52"/>
      <c r="R141" s="52"/>
      <c r="S141" s="51">
        <v>8000000</v>
      </c>
      <c r="T141" s="53">
        <f t="shared" si="75"/>
        <v>0.0005505488509238583</v>
      </c>
      <c r="U141" s="52"/>
      <c r="V141" s="52"/>
      <c r="W141" s="51">
        <v>8000000</v>
      </c>
      <c r="X141" s="52">
        <f t="shared" si="91"/>
        <v>100</v>
      </c>
      <c r="Y141" s="51">
        <v>8300000</v>
      </c>
      <c r="Z141" s="52">
        <f t="shared" si="84"/>
        <v>103.75000000000001</v>
      </c>
      <c r="AA141" s="51">
        <v>8500000</v>
      </c>
      <c r="AB141" s="52">
        <f t="shared" si="85"/>
        <v>102.40963855421687</v>
      </c>
      <c r="AC141" s="31">
        <f t="shared" si="89"/>
        <v>8279999.999999999</v>
      </c>
      <c r="AD141" s="31">
        <f t="shared" si="90"/>
        <v>8540700</v>
      </c>
      <c r="AE141" s="31">
        <f t="shared" si="87"/>
        <v>0</v>
      </c>
      <c r="AF141" s="31">
        <f t="shared" si="88"/>
        <v>8359999.999999999</v>
      </c>
      <c r="AI141" s="51">
        <v>8000000</v>
      </c>
      <c r="AJ141" s="51">
        <v>8000000</v>
      </c>
      <c r="AK141" s="51">
        <v>8000000</v>
      </c>
      <c r="AL141" s="51">
        <f t="shared" si="72"/>
        <v>0</v>
      </c>
      <c r="AM141" s="51">
        <f t="shared" si="73"/>
        <v>0</v>
      </c>
    </row>
    <row r="142" spans="1:39" s="40" customFormat="1" ht="12.75" customHeight="1">
      <c r="A142" s="39">
        <v>710309</v>
      </c>
      <c r="B142" s="54"/>
      <c r="C142" s="40" t="s">
        <v>262</v>
      </c>
      <c r="D142" s="31"/>
      <c r="E142" s="31"/>
      <c r="F142" s="31"/>
      <c r="G142" s="31"/>
      <c r="H142" s="31"/>
      <c r="I142" s="31"/>
      <c r="J142" s="31"/>
      <c r="K142" s="31"/>
      <c r="L142" s="41"/>
      <c r="M142" s="31"/>
      <c r="N142" s="42">
        <f t="shared" si="74"/>
        <v>0</v>
      </c>
      <c r="O142" s="31"/>
      <c r="P142" s="31"/>
      <c r="Q142" s="41"/>
      <c r="R142" s="41"/>
      <c r="S142" s="31">
        <v>8000000</v>
      </c>
      <c r="T142" s="42">
        <f t="shared" si="75"/>
        <v>0.0005505488509238583</v>
      </c>
      <c r="U142" s="41"/>
      <c r="V142" s="41"/>
      <c r="W142" s="31">
        <v>10000000</v>
      </c>
      <c r="X142" s="41">
        <f t="shared" si="91"/>
        <v>125</v>
      </c>
      <c r="Y142" s="31">
        <v>10400000</v>
      </c>
      <c r="Z142" s="41">
        <f t="shared" si="84"/>
        <v>104</v>
      </c>
      <c r="AA142" s="31">
        <v>10700000</v>
      </c>
      <c r="AB142" s="41">
        <f t="shared" si="85"/>
        <v>102.88461538461537</v>
      </c>
      <c r="AC142" s="31">
        <f t="shared" si="89"/>
        <v>10350000</v>
      </c>
      <c r="AD142" s="31">
        <f t="shared" si="90"/>
        <v>10701600</v>
      </c>
      <c r="AE142" s="31">
        <f t="shared" si="87"/>
        <v>0</v>
      </c>
      <c r="AF142" s="31">
        <f t="shared" si="88"/>
        <v>8359999.999999999</v>
      </c>
      <c r="AI142" s="31">
        <v>8000000</v>
      </c>
      <c r="AJ142" s="31">
        <v>8000000</v>
      </c>
      <c r="AK142" s="31">
        <v>8000000</v>
      </c>
      <c r="AL142" s="31">
        <f t="shared" si="72"/>
        <v>0</v>
      </c>
      <c r="AM142" s="31">
        <f t="shared" si="73"/>
        <v>0</v>
      </c>
    </row>
    <row r="143" spans="1:39" s="40" customFormat="1" ht="12.75" customHeight="1" hidden="1">
      <c r="A143" s="39">
        <v>710310</v>
      </c>
      <c r="B143" s="54"/>
      <c r="C143" s="40" t="s">
        <v>263</v>
      </c>
      <c r="D143" s="31"/>
      <c r="E143" s="31"/>
      <c r="F143" s="31"/>
      <c r="G143" s="31"/>
      <c r="H143" s="31"/>
      <c r="I143" s="31"/>
      <c r="J143" s="31"/>
      <c r="K143" s="31"/>
      <c r="L143" s="41"/>
      <c r="M143" s="31"/>
      <c r="N143" s="42">
        <f t="shared" si="74"/>
        <v>0</v>
      </c>
      <c r="O143" s="31"/>
      <c r="P143" s="31"/>
      <c r="Q143" s="41" t="e">
        <f>O143/J143*100</f>
        <v>#DIV/0!</v>
      </c>
      <c r="R143" s="41"/>
      <c r="S143" s="31">
        <v>0</v>
      </c>
      <c r="T143" s="42">
        <f t="shared" si="75"/>
        <v>0</v>
      </c>
      <c r="U143" s="41" t="e">
        <f>S143/M143*100</f>
        <v>#DIV/0!</v>
      </c>
      <c r="V143" s="41" t="e">
        <f>S143/O143*100</f>
        <v>#DIV/0!</v>
      </c>
      <c r="W143" s="31">
        <v>0</v>
      </c>
      <c r="X143" s="41" t="e">
        <f t="shared" si="91"/>
        <v>#DIV/0!</v>
      </c>
      <c r="Y143" s="31">
        <v>0</v>
      </c>
      <c r="Z143" s="41" t="e">
        <f t="shared" si="84"/>
        <v>#DIV/0!</v>
      </c>
      <c r="AA143" s="31">
        <v>0</v>
      </c>
      <c r="AB143" s="41" t="e">
        <f t="shared" si="85"/>
        <v>#DIV/0!</v>
      </c>
      <c r="AC143" s="31">
        <f t="shared" si="89"/>
        <v>0</v>
      </c>
      <c r="AD143" s="31">
        <f t="shared" si="90"/>
        <v>0</v>
      </c>
      <c r="AE143" s="31">
        <f t="shared" si="87"/>
        <v>0</v>
      </c>
      <c r="AF143" s="31">
        <f t="shared" si="88"/>
        <v>0</v>
      </c>
      <c r="AI143" s="31">
        <v>0</v>
      </c>
      <c r="AJ143" s="31">
        <v>0</v>
      </c>
      <c r="AK143" s="31">
        <v>0</v>
      </c>
      <c r="AL143" s="31">
        <f t="shared" si="72"/>
        <v>0</v>
      </c>
      <c r="AM143" s="31">
        <f t="shared" si="73"/>
        <v>0</v>
      </c>
    </row>
    <row r="144" spans="1:39" s="40" customFormat="1" ht="12.75" customHeight="1">
      <c r="A144" s="39" t="s">
        <v>264</v>
      </c>
      <c r="C144" s="40" t="s">
        <v>265</v>
      </c>
      <c r="D144" s="31"/>
      <c r="E144" s="31">
        <f>SUM(E145:E147)</f>
        <v>79682071</v>
      </c>
      <c r="F144" s="31"/>
      <c r="G144" s="31">
        <f>SUM(G145:G147)</f>
        <v>87969126</v>
      </c>
      <c r="H144" s="31"/>
      <c r="I144" s="31">
        <f>SUM(I145:I147)</f>
        <v>99000000</v>
      </c>
      <c r="J144" s="31">
        <f>SUM(J145:J147)</f>
        <v>96325612.71000001</v>
      </c>
      <c r="K144" s="31">
        <f>SUM(K145:K147)</f>
        <v>90000000</v>
      </c>
      <c r="L144" s="41">
        <f>K144/J144*100</f>
        <v>93.43309372031297</v>
      </c>
      <c r="M144" s="31">
        <f>SUM(M145:M147)</f>
        <v>107135000</v>
      </c>
      <c r="N144" s="42">
        <f t="shared" si="74"/>
        <v>0.007909976922615195</v>
      </c>
      <c r="O144" s="31">
        <f>SUM(O145:O147)</f>
        <v>122635000</v>
      </c>
      <c r="P144" s="31"/>
      <c r="Q144" s="41">
        <f>O144/J144*100</f>
        <v>127.31297164878421</v>
      </c>
      <c r="R144" s="41">
        <f>O144/M144*100</f>
        <v>114.46772763335977</v>
      </c>
      <c r="S144" s="31">
        <f>SUM(S145:S147)</f>
        <v>126000000</v>
      </c>
      <c r="T144" s="42">
        <f t="shared" si="75"/>
        <v>0.008671144402050768</v>
      </c>
      <c r="U144" s="41">
        <f>S144/M144*100</f>
        <v>117.60862463247305</v>
      </c>
      <c r="V144" s="41">
        <f>S144/O144*100</f>
        <v>102.74391486932768</v>
      </c>
      <c r="W144" s="31">
        <f>SUM(W145:W147)</f>
        <v>126500000</v>
      </c>
      <c r="X144" s="41">
        <f t="shared" si="91"/>
        <v>100.39682539682539</v>
      </c>
      <c r="Y144" s="31">
        <f>SUM(Y145:Y147)</f>
        <v>129700000</v>
      </c>
      <c r="Z144" s="41">
        <f t="shared" si="84"/>
        <v>102.52964426877472</v>
      </c>
      <c r="AA144" s="31">
        <f>SUM(AA145:AA147)</f>
        <v>112900000</v>
      </c>
      <c r="AB144" s="41">
        <f t="shared" si="85"/>
        <v>87.04703161141096</v>
      </c>
      <c r="AC144" s="31">
        <f t="shared" si="89"/>
        <v>130927499.99999999</v>
      </c>
      <c r="AD144" s="31">
        <f t="shared" si="90"/>
        <v>133461299.99999999</v>
      </c>
      <c r="AE144" s="31">
        <f t="shared" si="87"/>
        <v>113241695</v>
      </c>
      <c r="AF144" s="31">
        <f t="shared" si="88"/>
        <v>131669999.99999999</v>
      </c>
      <c r="AI144" s="31">
        <f>SUM(AI145:AI147)</f>
        <v>126000000</v>
      </c>
      <c r="AJ144" s="31">
        <f>SUM(AJ145:AJ147)</f>
        <v>126000000</v>
      </c>
      <c r="AK144" s="31">
        <f>SUM(AK145:AK147)</f>
        <v>126000000</v>
      </c>
      <c r="AL144" s="31">
        <f t="shared" si="72"/>
        <v>0</v>
      </c>
      <c r="AM144" s="31">
        <f t="shared" si="73"/>
        <v>0</v>
      </c>
    </row>
    <row r="145" spans="1:39" s="50" customFormat="1" ht="12.75" customHeight="1">
      <c r="A145" s="48" t="s">
        <v>266</v>
      </c>
      <c r="B145" s="49"/>
      <c r="C145" s="50" t="s">
        <v>267</v>
      </c>
      <c r="D145" s="51"/>
      <c r="E145" s="51">
        <v>75723579</v>
      </c>
      <c r="F145" s="51"/>
      <c r="G145" s="51">
        <v>83521338</v>
      </c>
      <c r="H145" s="51"/>
      <c r="I145" s="51">
        <v>90000000</v>
      </c>
      <c r="J145" s="51">
        <f>85366097.15</f>
        <v>85366097.15</v>
      </c>
      <c r="K145" s="51">
        <v>90000000</v>
      </c>
      <c r="L145" s="52">
        <f>K145/J145*100</f>
        <v>105.42827071250262</v>
      </c>
      <c r="M145" s="51">
        <f>90000000-5000000</f>
        <v>85000000</v>
      </c>
      <c r="N145" s="53">
        <f aca="true" t="shared" si="92" ref="N145:N176">M145/$M$9</f>
        <v>0.006275708577237052</v>
      </c>
      <c r="O145" s="51">
        <v>100000000</v>
      </c>
      <c r="P145" s="51"/>
      <c r="Q145" s="52">
        <f>O145/J145*100</f>
        <v>117.1425230138918</v>
      </c>
      <c r="R145" s="52">
        <f>O145/M145*100</f>
        <v>117.64705882352942</v>
      </c>
      <c r="S145" s="51">
        <v>95000000</v>
      </c>
      <c r="T145" s="53">
        <f aca="true" t="shared" si="93" ref="T145:T176">S145/$S$9</f>
        <v>0.006537767604720818</v>
      </c>
      <c r="U145" s="52">
        <f>S145/M145*100</f>
        <v>111.76470588235294</v>
      </c>
      <c r="V145" s="52">
        <f>S145/O145*100</f>
        <v>95</v>
      </c>
      <c r="W145" s="51">
        <v>100000000</v>
      </c>
      <c r="X145" s="52">
        <f t="shared" si="91"/>
        <v>105.26315789473684</v>
      </c>
      <c r="Y145" s="51">
        <v>103000000</v>
      </c>
      <c r="Z145" s="52">
        <f t="shared" si="84"/>
        <v>103</v>
      </c>
      <c r="AA145" s="51">
        <v>106000000</v>
      </c>
      <c r="AB145" s="52">
        <f t="shared" si="85"/>
        <v>102.9126213592233</v>
      </c>
      <c r="AC145" s="31">
        <f t="shared" si="89"/>
        <v>103499999.99999999</v>
      </c>
      <c r="AD145" s="31">
        <f t="shared" si="90"/>
        <v>105986999.99999999</v>
      </c>
      <c r="AE145" s="31">
        <f t="shared" si="87"/>
        <v>89845000</v>
      </c>
      <c r="AF145" s="31">
        <f t="shared" si="88"/>
        <v>99275000</v>
      </c>
      <c r="AI145" s="51">
        <v>95000000</v>
      </c>
      <c r="AJ145" s="51">
        <v>95000000</v>
      </c>
      <c r="AK145" s="51">
        <v>95000000</v>
      </c>
      <c r="AL145" s="51">
        <f t="shared" si="72"/>
        <v>0</v>
      </c>
      <c r="AM145" s="51">
        <f t="shared" si="73"/>
        <v>0</v>
      </c>
    </row>
    <row r="146" spans="1:39" s="50" customFormat="1" ht="11.25">
      <c r="A146" s="48" t="s">
        <v>268</v>
      </c>
      <c r="B146" s="49"/>
      <c r="C146" s="50" t="s">
        <v>233</v>
      </c>
      <c r="D146" s="51"/>
      <c r="E146" s="51">
        <v>3958492</v>
      </c>
      <c r="F146" s="51"/>
      <c r="G146" s="51">
        <v>4447788</v>
      </c>
      <c r="H146" s="51"/>
      <c r="I146" s="51">
        <v>4500000</v>
      </c>
      <c r="J146" s="51">
        <v>5155000</v>
      </c>
      <c r="K146" s="51"/>
      <c r="L146" s="52">
        <f>K146/J146*100</f>
        <v>0</v>
      </c>
      <c r="M146" s="51">
        <v>5500000</v>
      </c>
      <c r="N146" s="53">
        <f t="shared" si="92"/>
        <v>0.00040607526088004455</v>
      </c>
      <c r="O146" s="51">
        <v>6000000</v>
      </c>
      <c r="P146" s="51"/>
      <c r="Q146" s="52">
        <f>O146/J146*100</f>
        <v>116.39185257032008</v>
      </c>
      <c r="R146" s="52">
        <f>O146/M146*100</f>
        <v>109.09090909090908</v>
      </c>
      <c r="S146" s="51">
        <v>6000000</v>
      </c>
      <c r="T146" s="53">
        <f t="shared" si="93"/>
        <v>0.00041291163819289373</v>
      </c>
      <c r="U146" s="52">
        <f>S146/M146*100</f>
        <v>109.09090909090908</v>
      </c>
      <c r="V146" s="52">
        <f>S146/O146*100</f>
        <v>100</v>
      </c>
      <c r="W146" s="51">
        <v>6500000</v>
      </c>
      <c r="X146" s="52">
        <f t="shared" si="91"/>
        <v>108.33333333333333</v>
      </c>
      <c r="Y146" s="51">
        <v>6700000</v>
      </c>
      <c r="Z146" s="52">
        <f t="shared" si="84"/>
        <v>103.07692307692307</v>
      </c>
      <c r="AA146" s="51">
        <v>6900000</v>
      </c>
      <c r="AB146" s="52">
        <f t="shared" si="85"/>
        <v>102.98507462686568</v>
      </c>
      <c r="AC146" s="31">
        <f t="shared" si="89"/>
        <v>6727499.999999999</v>
      </c>
      <c r="AD146" s="31">
        <f t="shared" si="90"/>
        <v>6894299.999999999</v>
      </c>
      <c r="AE146" s="31">
        <f t="shared" si="87"/>
        <v>5813500</v>
      </c>
      <c r="AF146" s="31">
        <f t="shared" si="88"/>
        <v>6270000</v>
      </c>
      <c r="AI146" s="51">
        <v>6000000</v>
      </c>
      <c r="AJ146" s="51">
        <v>6000000</v>
      </c>
      <c r="AK146" s="51">
        <v>6000000</v>
      </c>
      <c r="AL146" s="51">
        <f t="shared" si="72"/>
        <v>0</v>
      </c>
      <c r="AM146" s="51">
        <f t="shared" si="73"/>
        <v>0</v>
      </c>
    </row>
    <row r="147" spans="1:39" s="50" customFormat="1" ht="11.25">
      <c r="A147" s="48" t="s">
        <v>269</v>
      </c>
      <c r="B147" s="49"/>
      <c r="C147" s="50" t="s">
        <v>270</v>
      </c>
      <c r="D147" s="51"/>
      <c r="E147" s="51"/>
      <c r="F147" s="51"/>
      <c r="G147" s="51"/>
      <c r="H147" s="51"/>
      <c r="I147" s="51">
        <v>4500000</v>
      </c>
      <c r="J147" s="51">
        <v>5804515.56</v>
      </c>
      <c r="K147" s="51"/>
      <c r="L147" s="52">
        <f>K147/J147*100</f>
        <v>0</v>
      </c>
      <c r="M147" s="51">
        <f>7000000+9635000</f>
        <v>16635000</v>
      </c>
      <c r="N147" s="53">
        <f t="shared" si="92"/>
        <v>0.0012281930844980984</v>
      </c>
      <c r="O147" s="51">
        <f>7000000+9635000</f>
        <v>16635000</v>
      </c>
      <c r="P147" s="51"/>
      <c r="Q147" s="52">
        <f>O147/J147*100</f>
        <v>286.58722382682356</v>
      </c>
      <c r="R147" s="52">
        <f>O147/M147*100</f>
        <v>100</v>
      </c>
      <c r="S147" s="51">
        <v>25000000</v>
      </c>
      <c r="T147" s="53">
        <f t="shared" si="93"/>
        <v>0.0017204651591370573</v>
      </c>
      <c r="U147" s="52">
        <f>S147/M147*100</f>
        <v>150.28554253080856</v>
      </c>
      <c r="V147" s="52">
        <f>S147/O147*100</f>
        <v>150.28554253080856</v>
      </c>
      <c r="W147" s="51">
        <v>20000000</v>
      </c>
      <c r="X147" s="52">
        <f t="shared" si="91"/>
        <v>80</v>
      </c>
      <c r="Y147" s="51">
        <v>20000000</v>
      </c>
      <c r="Z147" s="52">
        <f t="shared" si="84"/>
        <v>100</v>
      </c>
      <c r="AA147" s="51">
        <v>0</v>
      </c>
      <c r="AB147" s="52">
        <f t="shared" si="85"/>
        <v>0</v>
      </c>
      <c r="AC147" s="31">
        <f t="shared" si="89"/>
        <v>20700000</v>
      </c>
      <c r="AD147" s="31">
        <f t="shared" si="90"/>
        <v>20580000</v>
      </c>
      <c r="AE147" s="31">
        <f t="shared" si="87"/>
        <v>17583195</v>
      </c>
      <c r="AF147" s="31">
        <f t="shared" si="88"/>
        <v>26125000</v>
      </c>
      <c r="AI147" s="51">
        <v>25000000</v>
      </c>
      <c r="AJ147" s="51">
        <v>25000000</v>
      </c>
      <c r="AK147" s="51">
        <v>25000000</v>
      </c>
      <c r="AL147" s="51">
        <f t="shared" si="72"/>
        <v>0</v>
      </c>
      <c r="AM147" s="51">
        <f t="shared" si="73"/>
        <v>0</v>
      </c>
    </row>
    <row r="148" spans="1:39" ht="9" customHeight="1">
      <c r="A148" s="29"/>
      <c r="C148" s="4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6">
        <f t="shared" si="92"/>
        <v>0</v>
      </c>
      <c r="O148" s="25"/>
      <c r="P148" s="25"/>
      <c r="Q148" s="25"/>
      <c r="R148" s="25"/>
      <c r="S148" s="25"/>
      <c r="T148" s="26">
        <f t="shared" si="93"/>
        <v>0</v>
      </c>
      <c r="U148" s="25"/>
      <c r="V148" s="25"/>
      <c r="W148" s="25"/>
      <c r="X148" s="25"/>
      <c r="Y148" s="25"/>
      <c r="Z148" s="25"/>
      <c r="AA148" s="25"/>
      <c r="AB148" s="25"/>
      <c r="AC148" s="31">
        <f t="shared" si="89"/>
        <v>0</v>
      </c>
      <c r="AD148" s="31">
        <f t="shared" si="90"/>
        <v>0</v>
      </c>
      <c r="AE148" s="31">
        <f t="shared" si="87"/>
        <v>0</v>
      </c>
      <c r="AF148" s="31">
        <f t="shared" si="88"/>
        <v>0</v>
      </c>
      <c r="AI148" s="25"/>
      <c r="AJ148" s="25"/>
      <c r="AK148" s="25"/>
      <c r="AL148" s="25"/>
      <c r="AM148" s="25"/>
    </row>
    <row r="149" spans="1:39" s="35" customFormat="1" ht="12.75">
      <c r="A149" s="34">
        <v>711</v>
      </c>
      <c r="C149" s="35" t="s">
        <v>271</v>
      </c>
      <c r="D149" s="36">
        <f aca="true" t="shared" si="94" ref="D149:K149">D150</f>
        <v>50000</v>
      </c>
      <c r="E149" s="36">
        <f t="shared" si="94"/>
        <v>-12766</v>
      </c>
      <c r="F149" s="36">
        <f t="shared" si="94"/>
        <v>548000</v>
      </c>
      <c r="G149" s="36">
        <f t="shared" si="94"/>
        <v>259955</v>
      </c>
      <c r="H149" s="36">
        <f t="shared" si="94"/>
        <v>30000000</v>
      </c>
      <c r="I149" s="36">
        <f t="shared" si="94"/>
        <v>500000</v>
      </c>
      <c r="J149" s="36">
        <f t="shared" si="94"/>
        <v>46482</v>
      </c>
      <c r="K149" s="36">
        <f t="shared" si="94"/>
        <v>500000</v>
      </c>
      <c r="L149" s="37">
        <f>K149/J149*100</f>
        <v>1075.6852114797125</v>
      </c>
      <c r="M149" s="36">
        <f>M150</f>
        <v>500000</v>
      </c>
      <c r="N149" s="38">
        <f t="shared" si="92"/>
        <v>3.6915932807276776E-05</v>
      </c>
      <c r="O149" s="36">
        <f>O150</f>
        <v>45000000</v>
      </c>
      <c r="P149" s="36"/>
      <c r="Q149" s="37">
        <f>O149/J149*100</f>
        <v>96811.66903317413</v>
      </c>
      <c r="R149" s="37">
        <f>O149/M149*100</f>
        <v>9000</v>
      </c>
      <c r="S149" s="36">
        <f>S150</f>
        <v>57000000</v>
      </c>
      <c r="T149" s="38">
        <f t="shared" si="93"/>
        <v>0.00392266056283249</v>
      </c>
      <c r="U149" s="37">
        <f>S149/M149*100</f>
        <v>11400</v>
      </c>
      <c r="V149" s="37">
        <f>S149/O149*100</f>
        <v>126.66666666666666</v>
      </c>
      <c r="W149" s="36">
        <f>W150</f>
        <v>59000000</v>
      </c>
      <c r="X149" s="37">
        <f>W149/S149*100</f>
        <v>103.50877192982458</v>
      </c>
      <c r="Y149" s="36">
        <f>Y150</f>
        <v>60000000</v>
      </c>
      <c r="Z149" s="37">
        <f>Y149/W149*100</f>
        <v>101.69491525423729</v>
      </c>
      <c r="AA149" s="36">
        <f>AA150</f>
        <v>61000000</v>
      </c>
      <c r="AB149" s="37">
        <f>AA149/Y149*100</f>
        <v>101.66666666666666</v>
      </c>
      <c r="AC149" s="31">
        <f t="shared" si="89"/>
        <v>61064999.99999999</v>
      </c>
      <c r="AD149" s="31">
        <f t="shared" si="90"/>
        <v>61739999.99999999</v>
      </c>
      <c r="AE149" s="31">
        <f t="shared" si="87"/>
        <v>528500</v>
      </c>
      <c r="AF149" s="31">
        <f t="shared" si="88"/>
        <v>59564999.99999999</v>
      </c>
      <c r="AI149" s="36">
        <f>AI150</f>
        <v>52000000</v>
      </c>
      <c r="AJ149" s="36">
        <f>AJ150</f>
        <v>52000000</v>
      </c>
      <c r="AK149" s="36">
        <f>AK150</f>
        <v>57000000</v>
      </c>
      <c r="AL149" s="36">
        <f aca="true" t="shared" si="95" ref="AL149:AM152">AJ149-AI149</f>
        <v>0</v>
      </c>
      <c r="AM149" s="36">
        <f t="shared" si="95"/>
        <v>5000000</v>
      </c>
    </row>
    <row r="150" spans="1:39" s="35" customFormat="1" ht="12.75">
      <c r="A150" s="34">
        <v>7111</v>
      </c>
      <c r="C150" s="35" t="s">
        <v>272</v>
      </c>
      <c r="D150" s="36">
        <v>50000</v>
      </c>
      <c r="E150" s="36">
        <v>-12766</v>
      </c>
      <c r="F150" s="36">
        <v>548000</v>
      </c>
      <c r="G150" s="36">
        <f>SUM(G151:G152)</f>
        <v>259955</v>
      </c>
      <c r="H150" s="36">
        <f>SUM(H151:H152)</f>
        <v>30000000</v>
      </c>
      <c r="I150" s="36">
        <f>SUM(I151:I152)</f>
        <v>500000</v>
      </c>
      <c r="J150" s="36">
        <f>SUM(J151:J152)</f>
        <v>46482</v>
      </c>
      <c r="K150" s="36">
        <f>SUM(K151:K152)</f>
        <v>500000</v>
      </c>
      <c r="L150" s="37">
        <f>K150/J150*100</f>
        <v>1075.6852114797125</v>
      </c>
      <c r="M150" s="36">
        <f>SUM(M151:M152)</f>
        <v>500000</v>
      </c>
      <c r="N150" s="38">
        <f t="shared" si="92"/>
        <v>3.6915932807276776E-05</v>
      </c>
      <c r="O150" s="36">
        <f>SUM(O151:O152)</f>
        <v>45000000</v>
      </c>
      <c r="P150" s="36"/>
      <c r="Q150" s="37">
        <f>O150/J150*100</f>
        <v>96811.66903317413</v>
      </c>
      <c r="R150" s="37">
        <f>O150/M150*100</f>
        <v>9000</v>
      </c>
      <c r="S150" s="36">
        <f>SUM(S151:S152)</f>
        <v>57000000</v>
      </c>
      <c r="T150" s="38">
        <f t="shared" si="93"/>
        <v>0.00392266056283249</v>
      </c>
      <c r="U150" s="37">
        <f>S150/M150*100</f>
        <v>11400</v>
      </c>
      <c r="V150" s="37">
        <f>S150/O150*100</f>
        <v>126.66666666666666</v>
      </c>
      <c r="W150" s="36">
        <f>SUM(W151:W152)</f>
        <v>59000000</v>
      </c>
      <c r="X150" s="37">
        <f>W150/S150*100</f>
        <v>103.50877192982458</v>
      </c>
      <c r="Y150" s="36">
        <f>SUM(Y151:Y152)</f>
        <v>60000000</v>
      </c>
      <c r="Z150" s="37">
        <f>Y150/W150*100</f>
        <v>101.69491525423729</v>
      </c>
      <c r="AA150" s="36">
        <f>SUM(AA151:AA152)</f>
        <v>61000000</v>
      </c>
      <c r="AB150" s="37">
        <f>AA150/Y150*100</f>
        <v>101.66666666666666</v>
      </c>
      <c r="AC150" s="31">
        <f t="shared" si="89"/>
        <v>61064999.99999999</v>
      </c>
      <c r="AD150" s="31">
        <f t="shared" si="90"/>
        <v>61739999.99999999</v>
      </c>
      <c r="AE150" s="31">
        <f t="shared" si="87"/>
        <v>528500</v>
      </c>
      <c r="AF150" s="31">
        <f t="shared" si="88"/>
        <v>59564999.99999999</v>
      </c>
      <c r="AI150" s="36">
        <f>SUM(AI151:AI152)</f>
        <v>52000000</v>
      </c>
      <c r="AJ150" s="36">
        <f>SUM(AJ151:AJ152)</f>
        <v>52000000</v>
      </c>
      <c r="AK150" s="36">
        <f>SUM(AK151:AK152)</f>
        <v>57000000</v>
      </c>
      <c r="AL150" s="36">
        <f t="shared" si="95"/>
        <v>0</v>
      </c>
      <c r="AM150" s="36">
        <f t="shared" si="95"/>
        <v>5000000</v>
      </c>
    </row>
    <row r="151" spans="1:39" s="40" customFormat="1" ht="12.75" customHeight="1">
      <c r="A151" s="39" t="s">
        <v>273</v>
      </c>
      <c r="C151" s="40" t="s">
        <v>272</v>
      </c>
      <c r="D151" s="31"/>
      <c r="E151" s="31"/>
      <c r="F151" s="31"/>
      <c r="G151" s="31">
        <v>259955</v>
      </c>
      <c r="H151" s="31">
        <v>30000000</v>
      </c>
      <c r="I151" s="31">
        <v>500000</v>
      </c>
      <c r="J151" s="31">
        <v>46482</v>
      </c>
      <c r="K151" s="31">
        <v>500000</v>
      </c>
      <c r="L151" s="41">
        <f>K151/J151*100</f>
        <v>1075.6852114797125</v>
      </c>
      <c r="M151" s="31">
        <v>500000</v>
      </c>
      <c r="N151" s="42">
        <f t="shared" si="92"/>
        <v>3.6915932807276776E-05</v>
      </c>
      <c r="O151" s="31">
        <f>40000000+5000000</f>
        <v>45000000</v>
      </c>
      <c r="P151" s="31"/>
      <c r="Q151" s="41">
        <f>O151/J151*100</f>
        <v>96811.66903317413</v>
      </c>
      <c r="R151" s="41">
        <f>O151/M151*100</f>
        <v>9000</v>
      </c>
      <c r="S151" s="31">
        <f>42000000+5000000</f>
        <v>47000000</v>
      </c>
      <c r="T151" s="42">
        <f t="shared" si="93"/>
        <v>0.0032344744991776677</v>
      </c>
      <c r="U151" s="41">
        <f>S151/M151*100</f>
        <v>9400</v>
      </c>
      <c r="V151" s="41">
        <f>S151/O151*100</f>
        <v>104.44444444444446</v>
      </c>
      <c r="W151" s="31">
        <f>44000000+5000000</f>
        <v>49000000</v>
      </c>
      <c r="X151" s="41">
        <f>W151/S151*100</f>
        <v>104.25531914893618</v>
      </c>
      <c r="Y151" s="31">
        <f>45000000+5000000</f>
        <v>50000000</v>
      </c>
      <c r="Z151" s="41">
        <f>Y151/W151*100</f>
        <v>102.04081632653062</v>
      </c>
      <c r="AA151" s="31">
        <f>46000000+5000000</f>
        <v>51000000</v>
      </c>
      <c r="AB151" s="41">
        <f>AA151/Y151*100</f>
        <v>102</v>
      </c>
      <c r="AC151" s="31">
        <f t="shared" si="89"/>
        <v>50714999.99999999</v>
      </c>
      <c r="AD151" s="31">
        <f t="shared" si="90"/>
        <v>51449999.99999999</v>
      </c>
      <c r="AE151" s="31">
        <f t="shared" si="87"/>
        <v>528500</v>
      </c>
      <c r="AF151" s="31">
        <f t="shared" si="88"/>
        <v>49115000</v>
      </c>
      <c r="AI151" s="31">
        <v>42000000</v>
      </c>
      <c r="AJ151" s="31">
        <v>42000000</v>
      </c>
      <c r="AK151" s="31">
        <f>42000000+5000000</f>
        <v>47000000</v>
      </c>
      <c r="AL151" s="31">
        <f t="shared" si="95"/>
        <v>0</v>
      </c>
      <c r="AM151" s="31">
        <f t="shared" si="95"/>
        <v>5000000</v>
      </c>
    </row>
    <row r="152" spans="1:39" s="40" customFormat="1" ht="12.75" customHeight="1">
      <c r="A152" s="39" t="s">
        <v>274</v>
      </c>
      <c r="C152" s="40" t="s">
        <v>275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42">
        <f t="shared" si="92"/>
        <v>0</v>
      </c>
      <c r="O152" s="31"/>
      <c r="P152" s="31"/>
      <c r="Q152" s="31"/>
      <c r="R152" s="31"/>
      <c r="S152" s="31">
        <v>10000000</v>
      </c>
      <c r="T152" s="42">
        <f t="shared" si="93"/>
        <v>0.0006881860636548229</v>
      </c>
      <c r="U152" s="31"/>
      <c r="V152" s="31"/>
      <c r="W152" s="31">
        <v>10000000</v>
      </c>
      <c r="X152" s="31"/>
      <c r="Y152" s="31">
        <v>10000000</v>
      </c>
      <c r="Z152" s="31"/>
      <c r="AA152" s="31">
        <v>10000000</v>
      </c>
      <c r="AB152" s="31">
        <f>AA152/Y152*100</f>
        <v>100</v>
      </c>
      <c r="AC152" s="31">
        <f t="shared" si="89"/>
        <v>10350000</v>
      </c>
      <c r="AD152" s="31">
        <f t="shared" si="90"/>
        <v>10290000</v>
      </c>
      <c r="AE152" s="31">
        <f t="shared" si="87"/>
        <v>0</v>
      </c>
      <c r="AF152" s="31">
        <f t="shared" si="88"/>
        <v>10450000</v>
      </c>
      <c r="AI152" s="31">
        <v>10000000</v>
      </c>
      <c r="AJ152" s="31">
        <v>10000000</v>
      </c>
      <c r="AK152" s="31">
        <v>10000000</v>
      </c>
      <c r="AL152" s="31">
        <f t="shared" si="95"/>
        <v>0</v>
      </c>
      <c r="AM152" s="31">
        <f t="shared" si="95"/>
        <v>0</v>
      </c>
    </row>
    <row r="153" spans="1:39" ht="9" customHeight="1">
      <c r="A153" s="29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6">
        <f t="shared" si="92"/>
        <v>0</v>
      </c>
      <c r="O153" s="25"/>
      <c r="P153" s="25"/>
      <c r="Q153" s="25"/>
      <c r="R153" s="25"/>
      <c r="S153" s="25"/>
      <c r="T153" s="26">
        <f t="shared" si="93"/>
        <v>0</v>
      </c>
      <c r="U153" s="25"/>
      <c r="V153" s="25"/>
      <c r="W153" s="25"/>
      <c r="X153" s="25"/>
      <c r="Y153" s="25"/>
      <c r="Z153" s="25"/>
      <c r="AA153" s="25"/>
      <c r="AB153" s="25"/>
      <c r="AC153" s="31">
        <f t="shared" si="89"/>
        <v>0</v>
      </c>
      <c r="AD153" s="31">
        <f t="shared" si="90"/>
        <v>0</v>
      </c>
      <c r="AE153" s="31">
        <f t="shared" si="87"/>
        <v>0</v>
      </c>
      <c r="AF153" s="31">
        <f t="shared" si="88"/>
        <v>0</v>
      </c>
      <c r="AI153" s="25"/>
      <c r="AJ153" s="25"/>
      <c r="AK153" s="25"/>
      <c r="AL153" s="25"/>
      <c r="AM153" s="25"/>
    </row>
    <row r="154" spans="1:39" s="35" customFormat="1" ht="12.75">
      <c r="A154" s="34">
        <v>712</v>
      </c>
      <c r="C154" s="35" t="s">
        <v>276</v>
      </c>
      <c r="D154" s="36">
        <f aca="true" t="shared" si="96" ref="D154:K154">D155</f>
        <v>14121500</v>
      </c>
      <c r="E154" s="36">
        <f t="shared" si="96"/>
        <v>16809265</v>
      </c>
      <c r="F154" s="36">
        <f t="shared" si="96"/>
        <v>26300000</v>
      </c>
      <c r="G154" s="36">
        <f t="shared" si="96"/>
        <v>40232522</v>
      </c>
      <c r="H154" s="36">
        <f t="shared" si="96"/>
        <v>36600000</v>
      </c>
      <c r="I154" s="36">
        <f t="shared" si="96"/>
        <v>36000000</v>
      </c>
      <c r="J154" s="36">
        <f t="shared" si="96"/>
        <v>35677339</v>
      </c>
      <c r="K154" s="36">
        <f t="shared" si="96"/>
        <v>38300000</v>
      </c>
      <c r="L154" s="37">
        <f>K154/J154*100</f>
        <v>107.35105552574984</v>
      </c>
      <c r="M154" s="36">
        <f>M155</f>
        <v>38300000</v>
      </c>
      <c r="N154" s="38">
        <f t="shared" si="92"/>
        <v>0.0028277604530374013</v>
      </c>
      <c r="O154" s="36">
        <f>O155</f>
        <v>39300000</v>
      </c>
      <c r="P154" s="36"/>
      <c r="Q154" s="37">
        <f>O154/J154*100</f>
        <v>110.15395514783208</v>
      </c>
      <c r="R154" s="37">
        <f>O154/M154*100</f>
        <v>102.61096605744125</v>
      </c>
      <c r="S154" s="36">
        <f>S155</f>
        <v>40350000</v>
      </c>
      <c r="T154" s="38">
        <f t="shared" si="93"/>
        <v>0.0027768307668472104</v>
      </c>
      <c r="U154" s="37">
        <f>S154/M154*100</f>
        <v>105.35248041775458</v>
      </c>
      <c r="V154" s="37">
        <f>S154/O154*100</f>
        <v>102.67175572519085</v>
      </c>
      <c r="W154" s="36">
        <f>W155</f>
        <v>41400000</v>
      </c>
      <c r="X154" s="37">
        <f>W154/S154*100</f>
        <v>102.60223048327137</v>
      </c>
      <c r="Y154" s="36">
        <f>Y155</f>
        <v>42450000</v>
      </c>
      <c r="Z154" s="37">
        <f>Y154/W154*100</f>
        <v>102.53623188405795</v>
      </c>
      <c r="AA154" s="36">
        <f>AA155</f>
        <v>43500000</v>
      </c>
      <c r="AB154" s="37">
        <f>AA154/Y154*100</f>
        <v>102.47349823321554</v>
      </c>
      <c r="AC154" s="31">
        <f t="shared" si="89"/>
        <v>42849000</v>
      </c>
      <c r="AD154" s="31">
        <f t="shared" si="90"/>
        <v>43681050</v>
      </c>
      <c r="AE154" s="31">
        <f t="shared" si="87"/>
        <v>40483100</v>
      </c>
      <c r="AF154" s="31">
        <f t="shared" si="88"/>
        <v>42165750</v>
      </c>
      <c r="AI154" s="36">
        <f>AI155</f>
        <v>40350000</v>
      </c>
      <c r="AJ154" s="36">
        <f>AJ155</f>
        <v>40350000</v>
      </c>
      <c r="AK154" s="36">
        <f>AK155</f>
        <v>40350000</v>
      </c>
      <c r="AL154" s="36">
        <f aca="true" t="shared" si="97" ref="AL154:AM158">AJ154-AI154</f>
        <v>0</v>
      </c>
      <c r="AM154" s="36">
        <f t="shared" si="97"/>
        <v>0</v>
      </c>
    </row>
    <row r="155" spans="1:39" s="35" customFormat="1" ht="12.75">
      <c r="A155" s="34">
        <v>7120</v>
      </c>
      <c r="C155" s="35" t="s">
        <v>277</v>
      </c>
      <c r="D155" s="36">
        <f aca="true" t="shared" si="98" ref="D155:K155">SUM(D156:D158)</f>
        <v>14121500</v>
      </c>
      <c r="E155" s="36">
        <f t="shared" si="98"/>
        <v>16809265</v>
      </c>
      <c r="F155" s="36">
        <f t="shared" si="98"/>
        <v>26300000</v>
      </c>
      <c r="G155" s="36">
        <f t="shared" si="98"/>
        <v>40232522</v>
      </c>
      <c r="H155" s="36">
        <f t="shared" si="98"/>
        <v>36600000</v>
      </c>
      <c r="I155" s="36">
        <f t="shared" si="98"/>
        <v>36000000</v>
      </c>
      <c r="J155" s="36">
        <f t="shared" si="98"/>
        <v>35677339</v>
      </c>
      <c r="K155" s="36">
        <f t="shared" si="98"/>
        <v>38300000</v>
      </c>
      <c r="L155" s="37">
        <f>K155/J155*100</f>
        <v>107.35105552574984</v>
      </c>
      <c r="M155" s="36">
        <f>SUM(M156:M158)</f>
        <v>38300000</v>
      </c>
      <c r="N155" s="38">
        <f t="shared" si="92"/>
        <v>0.0028277604530374013</v>
      </c>
      <c r="O155" s="36">
        <f>SUM(O156:O158)</f>
        <v>39300000</v>
      </c>
      <c r="P155" s="36"/>
      <c r="Q155" s="37">
        <f>O155/J155*100</f>
        <v>110.15395514783208</v>
      </c>
      <c r="R155" s="37">
        <f>O155/M155*100</f>
        <v>102.61096605744125</v>
      </c>
      <c r="S155" s="36">
        <f>SUM(S156:S158)</f>
        <v>40350000</v>
      </c>
      <c r="T155" s="38">
        <f t="shared" si="93"/>
        <v>0.0027768307668472104</v>
      </c>
      <c r="U155" s="37">
        <f>S155/M155*100</f>
        <v>105.35248041775458</v>
      </c>
      <c r="V155" s="37">
        <f>S155/O155*100</f>
        <v>102.67175572519085</v>
      </c>
      <c r="W155" s="36">
        <f>SUM(W156:W158)</f>
        <v>41400000</v>
      </c>
      <c r="X155" s="37">
        <f>W155/S155*100</f>
        <v>102.60223048327137</v>
      </c>
      <c r="Y155" s="36">
        <f>SUM(Y156:Y158)</f>
        <v>42450000</v>
      </c>
      <c r="Z155" s="37">
        <f>Y155/W155*100</f>
        <v>102.53623188405795</v>
      </c>
      <c r="AA155" s="36">
        <f>SUM(AA156:AA158)</f>
        <v>43500000</v>
      </c>
      <c r="AB155" s="37">
        <f>AA155/Y155*100</f>
        <v>102.47349823321554</v>
      </c>
      <c r="AC155" s="31">
        <f t="shared" si="89"/>
        <v>42849000</v>
      </c>
      <c r="AD155" s="31">
        <f t="shared" si="90"/>
        <v>43681050</v>
      </c>
      <c r="AE155" s="31">
        <f t="shared" si="87"/>
        <v>40483100</v>
      </c>
      <c r="AF155" s="31">
        <f t="shared" si="88"/>
        <v>42165750</v>
      </c>
      <c r="AI155" s="36">
        <f>SUM(AI156:AI158)</f>
        <v>40350000</v>
      </c>
      <c r="AJ155" s="36">
        <f>SUM(AJ156:AJ158)</f>
        <v>40350000</v>
      </c>
      <c r="AK155" s="36">
        <f>SUM(AK156:AK158)</f>
        <v>40350000</v>
      </c>
      <c r="AL155" s="36">
        <f t="shared" si="97"/>
        <v>0</v>
      </c>
      <c r="AM155" s="36">
        <f t="shared" si="97"/>
        <v>0</v>
      </c>
    </row>
    <row r="156" spans="1:39" s="40" customFormat="1" ht="12.75" customHeight="1">
      <c r="A156" s="39" t="s">
        <v>278</v>
      </c>
      <c r="C156" s="40" t="s">
        <v>279</v>
      </c>
      <c r="D156" s="31">
        <v>13121500</v>
      </c>
      <c r="E156" s="31">
        <v>16090155</v>
      </c>
      <c r="F156" s="31">
        <v>25000000</v>
      </c>
      <c r="G156" s="31">
        <v>38779381</v>
      </c>
      <c r="H156" s="31">
        <v>34800000</v>
      </c>
      <c r="I156" s="31">
        <v>34800000</v>
      </c>
      <c r="J156" s="31">
        <v>34191969</v>
      </c>
      <c r="K156" s="31">
        <v>37000000</v>
      </c>
      <c r="L156" s="41">
        <f>K156/J156*100</f>
        <v>108.21254546645149</v>
      </c>
      <c r="M156" s="31">
        <v>37000000</v>
      </c>
      <c r="N156" s="42">
        <f t="shared" si="92"/>
        <v>0.0027317790277384814</v>
      </c>
      <c r="O156" s="31">
        <v>38000000</v>
      </c>
      <c r="P156" s="31"/>
      <c r="Q156" s="41">
        <f>O156/J156*100</f>
        <v>111.13720885743668</v>
      </c>
      <c r="R156" s="41">
        <f>O156/M156*100</f>
        <v>102.7027027027027</v>
      </c>
      <c r="S156" s="31">
        <v>39000000</v>
      </c>
      <c r="T156" s="42">
        <f t="shared" si="93"/>
        <v>0.0026839256482538093</v>
      </c>
      <c r="U156" s="41">
        <f>S156/M156*100</f>
        <v>105.40540540540539</v>
      </c>
      <c r="V156" s="41">
        <f>S156/O156*100</f>
        <v>102.63157894736842</v>
      </c>
      <c r="W156" s="31">
        <v>40000000</v>
      </c>
      <c r="X156" s="41">
        <f>W156/S156*100</f>
        <v>102.56410256410255</v>
      </c>
      <c r="Y156" s="31">
        <v>41000000</v>
      </c>
      <c r="Z156" s="41">
        <f>Y156/W156*100</f>
        <v>102.49999999999999</v>
      </c>
      <c r="AA156" s="31">
        <v>42000000</v>
      </c>
      <c r="AB156" s="41">
        <f>AA156/Y156*100</f>
        <v>102.4390243902439</v>
      </c>
      <c r="AC156" s="31">
        <f t="shared" si="89"/>
        <v>41400000</v>
      </c>
      <c r="AD156" s="31">
        <f t="shared" si="90"/>
        <v>42189000</v>
      </c>
      <c r="AE156" s="31">
        <f t="shared" si="87"/>
        <v>39109000</v>
      </c>
      <c r="AF156" s="31">
        <f t="shared" si="88"/>
        <v>40755000</v>
      </c>
      <c r="AI156" s="31">
        <v>39000000</v>
      </c>
      <c r="AJ156" s="31">
        <v>39000000</v>
      </c>
      <c r="AK156" s="31">
        <v>39000000</v>
      </c>
      <c r="AL156" s="31">
        <f t="shared" si="97"/>
        <v>0</v>
      </c>
      <c r="AM156" s="31">
        <f t="shared" si="97"/>
        <v>0</v>
      </c>
    </row>
    <row r="157" spans="1:39" s="40" customFormat="1" ht="12.75" customHeight="1">
      <c r="A157" s="39" t="s">
        <v>280</v>
      </c>
      <c r="C157" s="40" t="s">
        <v>281</v>
      </c>
      <c r="D157" s="31"/>
      <c r="E157" s="31">
        <v>7982</v>
      </c>
      <c r="F157" s="31"/>
      <c r="G157" s="31">
        <v>0</v>
      </c>
      <c r="H157" s="31">
        <v>200000</v>
      </c>
      <c r="I157" s="31">
        <v>200000</v>
      </c>
      <c r="J157" s="31">
        <v>459535</v>
      </c>
      <c r="K157" s="31">
        <v>200000</v>
      </c>
      <c r="L157" s="41">
        <f>K157/J157*100</f>
        <v>43.52225619376108</v>
      </c>
      <c r="M157" s="31">
        <v>200000</v>
      </c>
      <c r="N157" s="42">
        <f t="shared" si="92"/>
        <v>1.476637312291071E-05</v>
      </c>
      <c r="O157" s="31">
        <v>200000</v>
      </c>
      <c r="P157" s="31"/>
      <c r="Q157" s="41">
        <f>O157/J157*100</f>
        <v>43.52225619376108</v>
      </c>
      <c r="R157" s="41">
        <f>O157/M157*100</f>
        <v>100</v>
      </c>
      <c r="S157" s="31">
        <v>200000</v>
      </c>
      <c r="T157" s="42">
        <f t="shared" si="93"/>
        <v>1.3763721273096457E-05</v>
      </c>
      <c r="U157" s="41">
        <f>S157/M157*100</f>
        <v>100</v>
      </c>
      <c r="V157" s="41">
        <f>S157/O157*100</f>
        <v>100</v>
      </c>
      <c r="W157" s="31">
        <v>200000</v>
      </c>
      <c r="X157" s="41">
        <f>W157/S157*100</f>
        <v>100</v>
      </c>
      <c r="Y157" s="31">
        <v>200000</v>
      </c>
      <c r="Z157" s="41">
        <f>Y157/W157*100</f>
        <v>100</v>
      </c>
      <c r="AA157" s="31">
        <v>200000</v>
      </c>
      <c r="AB157" s="41">
        <f>AA157/Y157*100</f>
        <v>100</v>
      </c>
      <c r="AC157" s="31">
        <f t="shared" si="89"/>
        <v>206999.99999999997</v>
      </c>
      <c r="AD157" s="31">
        <f t="shared" si="90"/>
        <v>205799.99999999997</v>
      </c>
      <c r="AE157" s="31">
        <f t="shared" si="87"/>
        <v>211400</v>
      </c>
      <c r="AF157" s="31">
        <f t="shared" si="88"/>
        <v>209000</v>
      </c>
      <c r="AI157" s="31">
        <v>200000</v>
      </c>
      <c r="AJ157" s="31">
        <v>200000</v>
      </c>
      <c r="AK157" s="31">
        <v>200000</v>
      </c>
      <c r="AL157" s="31">
        <f t="shared" si="97"/>
        <v>0</v>
      </c>
      <c r="AM157" s="31">
        <f t="shared" si="97"/>
        <v>0</v>
      </c>
    </row>
    <row r="158" spans="1:39" s="40" customFormat="1" ht="12.75" customHeight="1">
      <c r="A158" s="39" t="s">
        <v>282</v>
      </c>
      <c r="C158" s="40" t="s">
        <v>283</v>
      </c>
      <c r="D158" s="31">
        <v>1000000</v>
      </c>
      <c r="E158" s="31">
        <v>711128</v>
      </c>
      <c r="F158" s="31">
        <v>1300000</v>
      </c>
      <c r="G158" s="31">
        <v>1453141</v>
      </c>
      <c r="H158" s="31">
        <v>1600000</v>
      </c>
      <c r="I158" s="31">
        <v>1000000</v>
      </c>
      <c r="J158" s="31">
        <v>1025835</v>
      </c>
      <c r="K158" s="31">
        <v>1100000</v>
      </c>
      <c r="L158" s="41">
        <f>K158/J158*100</f>
        <v>107.22972017917112</v>
      </c>
      <c r="M158" s="31">
        <v>1100000</v>
      </c>
      <c r="N158" s="42">
        <f t="shared" si="92"/>
        <v>8.121505217600892E-05</v>
      </c>
      <c r="O158" s="31">
        <v>1100000</v>
      </c>
      <c r="P158" s="31"/>
      <c r="Q158" s="41">
        <f>O158/J158*100</f>
        <v>107.22972017917112</v>
      </c>
      <c r="R158" s="41">
        <f>O158/M158*100</f>
        <v>100</v>
      </c>
      <c r="S158" s="31">
        <v>1150000</v>
      </c>
      <c r="T158" s="42">
        <f t="shared" si="93"/>
        <v>7.914139732030463E-05</v>
      </c>
      <c r="U158" s="41">
        <f>S158/M158*100</f>
        <v>104.54545454545455</v>
      </c>
      <c r="V158" s="41">
        <f>S158/O158*100</f>
        <v>104.54545454545455</v>
      </c>
      <c r="W158" s="31">
        <v>1200000</v>
      </c>
      <c r="X158" s="41">
        <f>W158/S158*100</f>
        <v>104.34782608695652</v>
      </c>
      <c r="Y158" s="31">
        <v>1250000</v>
      </c>
      <c r="Z158" s="41">
        <f>Y158/W158*100</f>
        <v>104.16666666666667</v>
      </c>
      <c r="AA158" s="31">
        <v>1300000</v>
      </c>
      <c r="AB158" s="41">
        <f>AA158/Y158*100</f>
        <v>104</v>
      </c>
      <c r="AC158" s="31">
        <f t="shared" si="89"/>
        <v>1242000</v>
      </c>
      <c r="AD158" s="31">
        <f t="shared" si="90"/>
        <v>1286250</v>
      </c>
      <c r="AE158" s="31">
        <f t="shared" si="87"/>
        <v>1162700</v>
      </c>
      <c r="AF158" s="31">
        <f t="shared" si="88"/>
        <v>1201750</v>
      </c>
      <c r="AI158" s="31">
        <v>1150000</v>
      </c>
      <c r="AJ158" s="31">
        <v>1150000</v>
      </c>
      <c r="AK158" s="31">
        <v>1150000</v>
      </c>
      <c r="AL158" s="31">
        <f t="shared" si="97"/>
        <v>0</v>
      </c>
      <c r="AM158" s="31">
        <f t="shared" si="97"/>
        <v>0</v>
      </c>
    </row>
    <row r="159" spans="1:39" ht="9" customHeight="1">
      <c r="A159" s="29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6">
        <f t="shared" si="92"/>
        <v>0</v>
      </c>
      <c r="O159" s="25"/>
      <c r="P159" s="25"/>
      <c r="Q159" s="25"/>
      <c r="R159" s="25"/>
      <c r="S159" s="25"/>
      <c r="T159" s="26">
        <f t="shared" si="93"/>
        <v>0</v>
      </c>
      <c r="U159" s="25"/>
      <c r="V159" s="25"/>
      <c r="W159" s="25"/>
      <c r="X159" s="25"/>
      <c r="Y159" s="25"/>
      <c r="Z159" s="25"/>
      <c r="AA159" s="25"/>
      <c r="AB159" s="25"/>
      <c r="AC159" s="31">
        <f t="shared" si="89"/>
        <v>0</v>
      </c>
      <c r="AD159" s="31">
        <f t="shared" si="90"/>
        <v>0</v>
      </c>
      <c r="AE159" s="31">
        <f t="shared" si="87"/>
        <v>0</v>
      </c>
      <c r="AF159" s="31">
        <f t="shared" si="88"/>
        <v>0</v>
      </c>
      <c r="AI159" s="25"/>
      <c r="AJ159" s="25"/>
      <c r="AK159" s="25"/>
      <c r="AL159" s="25"/>
      <c r="AM159" s="25"/>
    </row>
    <row r="160" spans="1:39" s="35" customFormat="1" ht="12.75">
      <c r="A160" s="34">
        <v>713</v>
      </c>
      <c r="C160" s="35" t="s">
        <v>284</v>
      </c>
      <c r="D160" s="36">
        <f aca="true" t="shared" si="99" ref="D160:K160">D161</f>
        <v>1454443000</v>
      </c>
      <c r="E160" s="36">
        <f t="shared" si="99"/>
        <v>18640086</v>
      </c>
      <c r="F160" s="36">
        <f t="shared" si="99"/>
        <v>1174678000</v>
      </c>
      <c r="G160" s="36">
        <f t="shared" si="99"/>
        <v>16166744</v>
      </c>
      <c r="H160" s="36">
        <f t="shared" si="99"/>
        <v>19400000</v>
      </c>
      <c r="I160" s="36">
        <f t="shared" si="99"/>
        <v>23930000</v>
      </c>
      <c r="J160" s="36">
        <f t="shared" si="99"/>
        <v>28107664.060000002</v>
      </c>
      <c r="K160" s="36">
        <f t="shared" si="99"/>
        <v>22000000</v>
      </c>
      <c r="L160" s="37">
        <f>K160/J160*100</f>
        <v>78.27046727553638</v>
      </c>
      <c r="M160" s="36">
        <f>M161</f>
        <v>27000000</v>
      </c>
      <c r="N160" s="38">
        <f t="shared" si="92"/>
        <v>0.001993460371592946</v>
      </c>
      <c r="O160" s="36">
        <f>O161</f>
        <v>24600000</v>
      </c>
      <c r="P160" s="36"/>
      <c r="Q160" s="37">
        <f aca="true" t="shared" si="100" ref="Q160:Q173">O160/J160*100</f>
        <v>87.52061340809976</v>
      </c>
      <c r="R160" s="37">
        <f>O160/M160*100</f>
        <v>91.11111111111111</v>
      </c>
      <c r="S160" s="36">
        <f>S161</f>
        <v>30037000</v>
      </c>
      <c r="T160" s="38">
        <f t="shared" si="93"/>
        <v>0.0020671044793999917</v>
      </c>
      <c r="U160" s="37">
        <f aca="true" t="shared" si="101" ref="U160:U173">S160/M160*100</f>
        <v>111.24814814814815</v>
      </c>
      <c r="V160" s="37">
        <f aca="true" t="shared" si="102" ref="V160:V173">S160/O160*100</f>
        <v>122.10162601626016</v>
      </c>
      <c r="W160" s="36">
        <f>W161</f>
        <v>31187000</v>
      </c>
      <c r="X160" s="37">
        <f>W160/S160*100</f>
        <v>103.82861137929886</v>
      </c>
      <c r="Y160" s="36">
        <f>Y161</f>
        <v>31907000</v>
      </c>
      <c r="Z160" s="37">
        <f aca="true" t="shared" si="103" ref="Z160:Z179">Y160/W160*100</f>
        <v>102.30865424696188</v>
      </c>
      <c r="AA160" s="36">
        <f>AA161</f>
        <v>32537000</v>
      </c>
      <c r="AB160" s="37">
        <f aca="true" t="shared" si="104" ref="AB160:AB179">AA160/Y160*100</f>
        <v>101.9744883567869</v>
      </c>
      <c r="AC160" s="31">
        <f t="shared" si="89"/>
        <v>32278544.999999996</v>
      </c>
      <c r="AD160" s="31">
        <f t="shared" si="90"/>
        <v>32832302.999999996</v>
      </c>
      <c r="AE160" s="31">
        <f t="shared" si="87"/>
        <v>28539000</v>
      </c>
      <c r="AF160" s="31">
        <f t="shared" si="88"/>
        <v>31388664.999999996</v>
      </c>
      <c r="AI160" s="36">
        <f>AI161</f>
        <v>30037000</v>
      </c>
      <c r="AJ160" s="36">
        <f>AJ161</f>
        <v>30037000</v>
      </c>
      <c r="AK160" s="36">
        <f>AK161</f>
        <v>30037000</v>
      </c>
      <c r="AL160" s="36">
        <f aca="true" t="shared" si="105" ref="AL160:AL185">AJ160-AI160</f>
        <v>0</v>
      </c>
      <c r="AM160" s="36">
        <f aca="true" t="shared" si="106" ref="AM160:AM185">AK160-AJ160</f>
        <v>0</v>
      </c>
    </row>
    <row r="161" spans="1:39" s="35" customFormat="1" ht="12.75">
      <c r="A161" s="34">
        <v>7130</v>
      </c>
      <c r="C161" s="35" t="s">
        <v>285</v>
      </c>
      <c r="D161" s="36">
        <f aca="true" t="shared" si="107" ref="D161:K161">D162+D171+D172</f>
        <v>1454443000</v>
      </c>
      <c r="E161" s="36">
        <f t="shared" si="107"/>
        <v>18640086</v>
      </c>
      <c r="F161" s="36">
        <f t="shared" si="107"/>
        <v>1174678000</v>
      </c>
      <c r="G161" s="36">
        <f t="shared" si="107"/>
        <v>16166744</v>
      </c>
      <c r="H161" s="36">
        <f t="shared" si="107"/>
        <v>19400000</v>
      </c>
      <c r="I161" s="36">
        <f t="shared" si="107"/>
        <v>23930000</v>
      </c>
      <c r="J161" s="36">
        <f t="shared" si="107"/>
        <v>28107664.060000002</v>
      </c>
      <c r="K161" s="36">
        <f t="shared" si="107"/>
        <v>22000000</v>
      </c>
      <c r="L161" s="37">
        <f>K161/J161*100</f>
        <v>78.27046727553638</v>
      </c>
      <c r="M161" s="36">
        <f>M162+M171+M172</f>
        <v>27000000</v>
      </c>
      <c r="N161" s="38">
        <f t="shared" si="92"/>
        <v>0.001993460371592946</v>
      </c>
      <c r="O161" s="36">
        <f>O162+O171+O172</f>
        <v>24600000</v>
      </c>
      <c r="P161" s="36"/>
      <c r="Q161" s="37">
        <f t="shared" si="100"/>
        <v>87.52061340809976</v>
      </c>
      <c r="R161" s="37">
        <f>O161/M161*100</f>
        <v>91.11111111111111</v>
      </c>
      <c r="S161" s="36">
        <f>S162+S171+S172</f>
        <v>30037000</v>
      </c>
      <c r="T161" s="38">
        <f t="shared" si="93"/>
        <v>0.0020671044793999917</v>
      </c>
      <c r="U161" s="37">
        <f t="shared" si="101"/>
        <v>111.24814814814815</v>
      </c>
      <c r="V161" s="37">
        <f t="shared" si="102"/>
        <v>122.10162601626016</v>
      </c>
      <c r="W161" s="36">
        <f>W162+W171+W172</f>
        <v>31187000</v>
      </c>
      <c r="X161" s="37">
        <f>W161/S161*100</f>
        <v>103.82861137929886</v>
      </c>
      <c r="Y161" s="36">
        <f>Y162+Y171+Y172</f>
        <v>31907000</v>
      </c>
      <c r="Z161" s="37">
        <f t="shared" si="103"/>
        <v>102.30865424696188</v>
      </c>
      <c r="AA161" s="36">
        <f>AA162+AA171+AA172</f>
        <v>32537000</v>
      </c>
      <c r="AB161" s="37">
        <f t="shared" si="104"/>
        <v>101.9744883567869</v>
      </c>
      <c r="AC161" s="31">
        <f t="shared" si="89"/>
        <v>32278544.999999996</v>
      </c>
      <c r="AD161" s="31">
        <f t="shared" si="90"/>
        <v>32832302.999999996</v>
      </c>
      <c r="AE161" s="31">
        <f t="shared" si="87"/>
        <v>28539000</v>
      </c>
      <c r="AF161" s="31">
        <f t="shared" si="88"/>
        <v>31388664.999999996</v>
      </c>
      <c r="AI161" s="36">
        <f>AI162+AI171+AI172</f>
        <v>30037000</v>
      </c>
      <c r="AJ161" s="36">
        <f>AJ162+AJ171+AJ172</f>
        <v>30037000</v>
      </c>
      <c r="AK161" s="36">
        <f>AK162+AK171+AK172</f>
        <v>30037000</v>
      </c>
      <c r="AL161" s="36">
        <f t="shared" si="105"/>
        <v>0</v>
      </c>
      <c r="AM161" s="36">
        <f t="shared" si="106"/>
        <v>0</v>
      </c>
    </row>
    <row r="162" spans="1:39" s="40" customFormat="1" ht="11.25" hidden="1">
      <c r="A162" s="39" t="s">
        <v>286</v>
      </c>
      <c r="C162" s="40" t="s">
        <v>285</v>
      </c>
      <c r="D162" s="31"/>
      <c r="E162" s="31"/>
      <c r="F162" s="31"/>
      <c r="G162" s="31">
        <f>SUM(G163:G170)</f>
        <v>0</v>
      </c>
      <c r="H162" s="31">
        <f>SUM(H163:H170)</f>
        <v>0</v>
      </c>
      <c r="I162" s="31">
        <f>SUM(I163:I170)</f>
        <v>0</v>
      </c>
      <c r="J162" s="31">
        <f>SUM(J163:J170)</f>
        <v>0</v>
      </c>
      <c r="K162" s="31">
        <f>SUM(K163:K170)</f>
        <v>0</v>
      </c>
      <c r="L162" s="41"/>
      <c r="M162" s="31">
        <f>SUM(M163:M170)</f>
        <v>0</v>
      </c>
      <c r="N162" s="42">
        <f t="shared" si="92"/>
        <v>0</v>
      </c>
      <c r="O162" s="31">
        <f>SUM(O163:O170)</f>
        <v>0</v>
      </c>
      <c r="P162" s="31"/>
      <c r="Q162" s="41" t="e">
        <f t="shared" si="100"/>
        <v>#DIV/0!</v>
      </c>
      <c r="R162" s="41"/>
      <c r="S162" s="31">
        <f>SUM(S163:S170)</f>
        <v>0</v>
      </c>
      <c r="T162" s="42">
        <f t="shared" si="93"/>
        <v>0</v>
      </c>
      <c r="U162" s="41" t="e">
        <f t="shared" si="101"/>
        <v>#DIV/0!</v>
      </c>
      <c r="V162" s="41" t="e">
        <f t="shared" si="102"/>
        <v>#DIV/0!</v>
      </c>
      <c r="W162" s="31">
        <f>SUM(W163:W170)</f>
        <v>0</v>
      </c>
      <c r="X162" s="41"/>
      <c r="Y162" s="31">
        <f>SUM(Y163:Y170)</f>
        <v>0</v>
      </c>
      <c r="Z162" s="41" t="e">
        <f t="shared" si="103"/>
        <v>#DIV/0!</v>
      </c>
      <c r="AA162" s="31">
        <f>SUM(AA163:AA170)</f>
        <v>0</v>
      </c>
      <c r="AB162" s="41" t="e">
        <f t="shared" si="104"/>
        <v>#DIV/0!</v>
      </c>
      <c r="AC162" s="31">
        <f t="shared" si="89"/>
        <v>0</v>
      </c>
      <c r="AD162" s="31">
        <f t="shared" si="90"/>
        <v>0</v>
      </c>
      <c r="AE162" s="31">
        <f t="shared" si="87"/>
        <v>0</v>
      </c>
      <c r="AF162" s="31">
        <f t="shared" si="88"/>
        <v>0</v>
      </c>
      <c r="AI162" s="31">
        <f>SUM(AI163:AI170)</f>
        <v>0</v>
      </c>
      <c r="AJ162" s="31">
        <f>SUM(AJ163:AJ170)</f>
        <v>0</v>
      </c>
      <c r="AK162" s="31">
        <f>SUM(AK163:AK170)</f>
        <v>0</v>
      </c>
      <c r="AL162" s="31">
        <f t="shared" si="105"/>
        <v>0</v>
      </c>
      <c r="AM162" s="31">
        <f t="shared" si="106"/>
        <v>0</v>
      </c>
    </row>
    <row r="163" spans="1:39" s="50" customFormat="1" ht="11.25" hidden="1">
      <c r="A163" s="48"/>
      <c r="B163" s="49" t="s">
        <v>287</v>
      </c>
      <c r="D163" s="51"/>
      <c r="E163" s="51"/>
      <c r="F163" s="51"/>
      <c r="G163" s="51"/>
      <c r="H163" s="51"/>
      <c r="I163" s="51"/>
      <c r="J163" s="51"/>
      <c r="K163" s="51"/>
      <c r="L163" s="52"/>
      <c r="M163" s="51"/>
      <c r="N163" s="53">
        <f t="shared" si="92"/>
        <v>0</v>
      </c>
      <c r="O163" s="51"/>
      <c r="P163" s="51"/>
      <c r="Q163" s="52" t="e">
        <f t="shared" si="100"/>
        <v>#DIV/0!</v>
      </c>
      <c r="R163" s="52"/>
      <c r="S163" s="51"/>
      <c r="T163" s="53">
        <f t="shared" si="93"/>
        <v>0</v>
      </c>
      <c r="U163" s="52" t="e">
        <f t="shared" si="101"/>
        <v>#DIV/0!</v>
      </c>
      <c r="V163" s="52" t="e">
        <f t="shared" si="102"/>
        <v>#DIV/0!</v>
      </c>
      <c r="W163" s="51"/>
      <c r="X163" s="52"/>
      <c r="Y163" s="51"/>
      <c r="Z163" s="52" t="e">
        <f t="shared" si="103"/>
        <v>#DIV/0!</v>
      </c>
      <c r="AA163" s="51"/>
      <c r="AB163" s="52" t="e">
        <f t="shared" si="104"/>
        <v>#DIV/0!</v>
      </c>
      <c r="AC163" s="31">
        <f t="shared" si="89"/>
        <v>0</v>
      </c>
      <c r="AD163" s="31">
        <f t="shared" si="90"/>
        <v>0</v>
      </c>
      <c r="AE163" s="31">
        <f t="shared" si="87"/>
        <v>0</v>
      </c>
      <c r="AF163" s="31">
        <f t="shared" si="88"/>
        <v>0</v>
      </c>
      <c r="AI163" s="51"/>
      <c r="AJ163" s="51"/>
      <c r="AK163" s="51"/>
      <c r="AL163" s="51">
        <f t="shared" si="105"/>
        <v>0</v>
      </c>
      <c r="AM163" s="51">
        <f t="shared" si="106"/>
        <v>0</v>
      </c>
    </row>
    <row r="164" spans="1:39" s="50" customFormat="1" ht="11.25" hidden="1">
      <c r="A164" s="48"/>
      <c r="B164" s="49" t="s">
        <v>288</v>
      </c>
      <c r="D164" s="51"/>
      <c r="E164" s="51"/>
      <c r="F164" s="51"/>
      <c r="G164" s="51"/>
      <c r="H164" s="51"/>
      <c r="I164" s="51"/>
      <c r="J164" s="51"/>
      <c r="K164" s="51"/>
      <c r="L164" s="52"/>
      <c r="M164" s="51"/>
      <c r="N164" s="53">
        <f t="shared" si="92"/>
        <v>0</v>
      </c>
      <c r="O164" s="51"/>
      <c r="P164" s="51"/>
      <c r="Q164" s="52" t="e">
        <f t="shared" si="100"/>
        <v>#DIV/0!</v>
      </c>
      <c r="R164" s="52"/>
      <c r="S164" s="51"/>
      <c r="T164" s="53">
        <f t="shared" si="93"/>
        <v>0</v>
      </c>
      <c r="U164" s="52" t="e">
        <f t="shared" si="101"/>
        <v>#DIV/0!</v>
      </c>
      <c r="V164" s="52" t="e">
        <f t="shared" si="102"/>
        <v>#DIV/0!</v>
      </c>
      <c r="W164" s="51"/>
      <c r="X164" s="52"/>
      <c r="Y164" s="51"/>
      <c r="Z164" s="52" t="e">
        <f t="shared" si="103"/>
        <v>#DIV/0!</v>
      </c>
      <c r="AA164" s="51"/>
      <c r="AB164" s="52" t="e">
        <f t="shared" si="104"/>
        <v>#DIV/0!</v>
      </c>
      <c r="AC164" s="31">
        <f t="shared" si="89"/>
        <v>0</v>
      </c>
      <c r="AD164" s="31">
        <f t="shared" si="90"/>
        <v>0</v>
      </c>
      <c r="AE164" s="31">
        <f aca="true" t="shared" si="108" ref="AE164:AE195">M164*1.057</f>
        <v>0</v>
      </c>
      <c r="AF164" s="31">
        <f aca="true" t="shared" si="109" ref="AF164:AF195">S164*1.045</f>
        <v>0</v>
      </c>
      <c r="AI164" s="51"/>
      <c r="AJ164" s="51"/>
      <c r="AK164" s="51"/>
      <c r="AL164" s="51">
        <f t="shared" si="105"/>
        <v>0</v>
      </c>
      <c r="AM164" s="51">
        <f t="shared" si="106"/>
        <v>0</v>
      </c>
    </row>
    <row r="165" spans="1:39" s="50" customFormat="1" ht="11.25" hidden="1">
      <c r="A165" s="48"/>
      <c r="B165" s="49" t="s">
        <v>289</v>
      </c>
      <c r="D165" s="51"/>
      <c r="E165" s="51"/>
      <c r="F165" s="51"/>
      <c r="G165" s="51"/>
      <c r="H165" s="51"/>
      <c r="I165" s="51"/>
      <c r="J165" s="51"/>
      <c r="K165" s="51"/>
      <c r="L165" s="52"/>
      <c r="M165" s="51"/>
      <c r="N165" s="53">
        <f t="shared" si="92"/>
        <v>0</v>
      </c>
      <c r="O165" s="51"/>
      <c r="P165" s="51"/>
      <c r="Q165" s="52" t="e">
        <f t="shared" si="100"/>
        <v>#DIV/0!</v>
      </c>
      <c r="R165" s="52"/>
      <c r="S165" s="51"/>
      <c r="T165" s="53">
        <f t="shared" si="93"/>
        <v>0</v>
      </c>
      <c r="U165" s="52" t="e">
        <f t="shared" si="101"/>
        <v>#DIV/0!</v>
      </c>
      <c r="V165" s="52" t="e">
        <f t="shared" si="102"/>
        <v>#DIV/0!</v>
      </c>
      <c r="W165" s="51"/>
      <c r="X165" s="52"/>
      <c r="Y165" s="51"/>
      <c r="Z165" s="52" t="e">
        <f t="shared" si="103"/>
        <v>#DIV/0!</v>
      </c>
      <c r="AA165" s="51"/>
      <c r="AB165" s="52" t="e">
        <f t="shared" si="104"/>
        <v>#DIV/0!</v>
      </c>
      <c r="AC165" s="31">
        <f t="shared" si="89"/>
        <v>0</v>
      </c>
      <c r="AD165" s="31">
        <f t="shared" si="90"/>
        <v>0</v>
      </c>
      <c r="AE165" s="31">
        <f t="shared" si="108"/>
        <v>0</v>
      </c>
      <c r="AF165" s="31">
        <f t="shared" si="109"/>
        <v>0</v>
      </c>
      <c r="AI165" s="51"/>
      <c r="AJ165" s="51"/>
      <c r="AK165" s="51"/>
      <c r="AL165" s="51">
        <f t="shared" si="105"/>
        <v>0</v>
      </c>
      <c r="AM165" s="51">
        <f t="shared" si="106"/>
        <v>0</v>
      </c>
    </row>
    <row r="166" spans="1:39" s="50" customFormat="1" ht="11.25" hidden="1">
      <c r="A166" s="48"/>
      <c r="B166" s="49" t="s">
        <v>290</v>
      </c>
      <c r="D166" s="51"/>
      <c r="E166" s="51"/>
      <c r="F166" s="51"/>
      <c r="G166" s="51"/>
      <c r="H166" s="51"/>
      <c r="I166" s="51"/>
      <c r="J166" s="51"/>
      <c r="K166" s="51"/>
      <c r="L166" s="52"/>
      <c r="M166" s="51"/>
      <c r="N166" s="53">
        <f t="shared" si="92"/>
        <v>0</v>
      </c>
      <c r="O166" s="51"/>
      <c r="P166" s="51"/>
      <c r="Q166" s="52" t="e">
        <f t="shared" si="100"/>
        <v>#DIV/0!</v>
      </c>
      <c r="R166" s="52"/>
      <c r="S166" s="51"/>
      <c r="T166" s="53">
        <f t="shared" si="93"/>
        <v>0</v>
      </c>
      <c r="U166" s="52" t="e">
        <f t="shared" si="101"/>
        <v>#DIV/0!</v>
      </c>
      <c r="V166" s="52" t="e">
        <f t="shared" si="102"/>
        <v>#DIV/0!</v>
      </c>
      <c r="W166" s="51"/>
      <c r="X166" s="52"/>
      <c r="Y166" s="51"/>
      <c r="Z166" s="52" t="e">
        <f t="shared" si="103"/>
        <v>#DIV/0!</v>
      </c>
      <c r="AA166" s="51"/>
      <c r="AB166" s="52" t="e">
        <f t="shared" si="104"/>
        <v>#DIV/0!</v>
      </c>
      <c r="AC166" s="31">
        <f t="shared" si="89"/>
        <v>0</v>
      </c>
      <c r="AD166" s="31">
        <f t="shared" si="90"/>
        <v>0</v>
      </c>
      <c r="AE166" s="31">
        <f t="shared" si="108"/>
        <v>0</v>
      </c>
      <c r="AF166" s="31">
        <f t="shared" si="109"/>
        <v>0</v>
      </c>
      <c r="AI166" s="51"/>
      <c r="AJ166" s="51"/>
      <c r="AK166" s="51"/>
      <c r="AL166" s="51">
        <f t="shared" si="105"/>
        <v>0</v>
      </c>
      <c r="AM166" s="51">
        <f t="shared" si="106"/>
        <v>0</v>
      </c>
    </row>
    <row r="167" spans="1:39" s="50" customFormat="1" ht="11.25" hidden="1">
      <c r="A167" s="48"/>
      <c r="B167" s="49" t="s">
        <v>291</v>
      </c>
      <c r="D167" s="51"/>
      <c r="E167" s="51"/>
      <c r="F167" s="51"/>
      <c r="G167" s="51"/>
      <c r="H167" s="51"/>
      <c r="I167" s="51"/>
      <c r="J167" s="51"/>
      <c r="K167" s="51"/>
      <c r="L167" s="52"/>
      <c r="M167" s="51"/>
      <c r="N167" s="53">
        <f t="shared" si="92"/>
        <v>0</v>
      </c>
      <c r="O167" s="51"/>
      <c r="P167" s="51"/>
      <c r="Q167" s="52" t="e">
        <f t="shared" si="100"/>
        <v>#DIV/0!</v>
      </c>
      <c r="R167" s="52"/>
      <c r="S167" s="51"/>
      <c r="T167" s="53">
        <f t="shared" si="93"/>
        <v>0</v>
      </c>
      <c r="U167" s="52" t="e">
        <f t="shared" si="101"/>
        <v>#DIV/0!</v>
      </c>
      <c r="V167" s="52" t="e">
        <f t="shared" si="102"/>
        <v>#DIV/0!</v>
      </c>
      <c r="W167" s="51"/>
      <c r="X167" s="52"/>
      <c r="Y167" s="51"/>
      <c r="Z167" s="52" t="e">
        <f t="shared" si="103"/>
        <v>#DIV/0!</v>
      </c>
      <c r="AA167" s="51"/>
      <c r="AB167" s="52" t="e">
        <f t="shared" si="104"/>
        <v>#DIV/0!</v>
      </c>
      <c r="AC167" s="31">
        <f aca="true" t="shared" si="110" ref="AC167:AC198">W167*1.035</f>
        <v>0</v>
      </c>
      <c r="AD167" s="31">
        <f aca="true" t="shared" si="111" ref="AD167:AD198">Y167*1.029</f>
        <v>0</v>
      </c>
      <c r="AE167" s="31">
        <f t="shared" si="108"/>
        <v>0</v>
      </c>
      <c r="AF167" s="31">
        <f t="shared" si="109"/>
        <v>0</v>
      </c>
      <c r="AI167" s="51"/>
      <c r="AJ167" s="51"/>
      <c r="AK167" s="51"/>
      <c r="AL167" s="51">
        <f t="shared" si="105"/>
        <v>0</v>
      </c>
      <c r="AM167" s="51">
        <f t="shared" si="106"/>
        <v>0</v>
      </c>
    </row>
    <row r="168" spans="1:39" s="50" customFormat="1" ht="11.25" hidden="1">
      <c r="A168" s="48"/>
      <c r="B168" s="49" t="s">
        <v>292</v>
      </c>
      <c r="D168" s="51"/>
      <c r="E168" s="51"/>
      <c r="F168" s="51"/>
      <c r="G168" s="51"/>
      <c r="H168" s="51"/>
      <c r="I168" s="51"/>
      <c r="J168" s="51"/>
      <c r="K168" s="51"/>
      <c r="L168" s="52"/>
      <c r="M168" s="51"/>
      <c r="N168" s="53">
        <f t="shared" si="92"/>
        <v>0</v>
      </c>
      <c r="O168" s="51"/>
      <c r="P168" s="51"/>
      <c r="Q168" s="52" t="e">
        <f t="shared" si="100"/>
        <v>#DIV/0!</v>
      </c>
      <c r="R168" s="52"/>
      <c r="S168" s="51"/>
      <c r="T168" s="53">
        <f t="shared" si="93"/>
        <v>0</v>
      </c>
      <c r="U168" s="52" t="e">
        <f t="shared" si="101"/>
        <v>#DIV/0!</v>
      </c>
      <c r="V168" s="52" t="e">
        <f t="shared" si="102"/>
        <v>#DIV/0!</v>
      </c>
      <c r="W168" s="51"/>
      <c r="X168" s="52"/>
      <c r="Y168" s="51"/>
      <c r="Z168" s="52" t="e">
        <f t="shared" si="103"/>
        <v>#DIV/0!</v>
      </c>
      <c r="AA168" s="51"/>
      <c r="AB168" s="52" t="e">
        <f t="shared" si="104"/>
        <v>#DIV/0!</v>
      </c>
      <c r="AC168" s="31">
        <f t="shared" si="110"/>
        <v>0</v>
      </c>
      <c r="AD168" s="31">
        <f t="shared" si="111"/>
        <v>0</v>
      </c>
      <c r="AE168" s="31">
        <f t="shared" si="108"/>
        <v>0</v>
      </c>
      <c r="AF168" s="31">
        <f t="shared" si="109"/>
        <v>0</v>
      </c>
      <c r="AI168" s="51"/>
      <c r="AJ168" s="51"/>
      <c r="AK168" s="51"/>
      <c r="AL168" s="51">
        <f t="shared" si="105"/>
        <v>0</v>
      </c>
      <c r="AM168" s="51">
        <f t="shared" si="106"/>
        <v>0</v>
      </c>
    </row>
    <row r="169" spans="1:39" s="50" customFormat="1" ht="11.25" hidden="1">
      <c r="A169" s="48"/>
      <c r="B169" s="49" t="s">
        <v>293</v>
      </c>
      <c r="D169" s="51"/>
      <c r="E169" s="51"/>
      <c r="F169" s="51"/>
      <c r="G169" s="51"/>
      <c r="H169" s="51"/>
      <c r="I169" s="51"/>
      <c r="J169" s="51"/>
      <c r="K169" s="51"/>
      <c r="L169" s="52"/>
      <c r="M169" s="51"/>
      <c r="N169" s="53">
        <f t="shared" si="92"/>
        <v>0</v>
      </c>
      <c r="O169" s="51"/>
      <c r="P169" s="51"/>
      <c r="Q169" s="52" t="e">
        <f t="shared" si="100"/>
        <v>#DIV/0!</v>
      </c>
      <c r="R169" s="52"/>
      <c r="S169" s="51"/>
      <c r="T169" s="53">
        <f t="shared" si="93"/>
        <v>0</v>
      </c>
      <c r="U169" s="52" t="e">
        <f t="shared" si="101"/>
        <v>#DIV/0!</v>
      </c>
      <c r="V169" s="52" t="e">
        <f t="shared" si="102"/>
        <v>#DIV/0!</v>
      </c>
      <c r="W169" s="51"/>
      <c r="X169" s="52"/>
      <c r="Y169" s="51"/>
      <c r="Z169" s="52" t="e">
        <f t="shared" si="103"/>
        <v>#DIV/0!</v>
      </c>
      <c r="AA169" s="51"/>
      <c r="AB169" s="52" t="e">
        <f t="shared" si="104"/>
        <v>#DIV/0!</v>
      </c>
      <c r="AC169" s="31">
        <f t="shared" si="110"/>
        <v>0</v>
      </c>
      <c r="AD169" s="31">
        <f t="shared" si="111"/>
        <v>0</v>
      </c>
      <c r="AE169" s="31">
        <f t="shared" si="108"/>
        <v>0</v>
      </c>
      <c r="AF169" s="31">
        <f t="shared" si="109"/>
        <v>0</v>
      </c>
      <c r="AI169" s="51"/>
      <c r="AJ169" s="51"/>
      <c r="AK169" s="51"/>
      <c r="AL169" s="51">
        <f t="shared" si="105"/>
        <v>0</v>
      </c>
      <c r="AM169" s="51">
        <f t="shared" si="106"/>
        <v>0</v>
      </c>
    </row>
    <row r="170" spans="1:39" s="50" customFormat="1" ht="11.25" hidden="1">
      <c r="A170" s="48"/>
      <c r="B170" s="49" t="s">
        <v>294</v>
      </c>
      <c r="D170" s="51"/>
      <c r="E170" s="51"/>
      <c r="F170" s="51"/>
      <c r="G170" s="51"/>
      <c r="H170" s="51"/>
      <c r="I170" s="51"/>
      <c r="J170" s="51"/>
      <c r="K170" s="51"/>
      <c r="L170" s="52"/>
      <c r="M170" s="51"/>
      <c r="N170" s="53">
        <f t="shared" si="92"/>
        <v>0</v>
      </c>
      <c r="O170" s="51"/>
      <c r="P170" s="51"/>
      <c r="Q170" s="52" t="e">
        <f t="shared" si="100"/>
        <v>#DIV/0!</v>
      </c>
      <c r="R170" s="52"/>
      <c r="S170" s="51"/>
      <c r="T170" s="53">
        <f t="shared" si="93"/>
        <v>0</v>
      </c>
      <c r="U170" s="52" t="e">
        <f t="shared" si="101"/>
        <v>#DIV/0!</v>
      </c>
      <c r="V170" s="52" t="e">
        <f t="shared" si="102"/>
        <v>#DIV/0!</v>
      </c>
      <c r="W170" s="51"/>
      <c r="X170" s="52"/>
      <c r="Y170" s="51"/>
      <c r="Z170" s="52" t="e">
        <f t="shared" si="103"/>
        <v>#DIV/0!</v>
      </c>
      <c r="AA170" s="51"/>
      <c r="AB170" s="52" t="e">
        <f t="shared" si="104"/>
        <v>#DIV/0!</v>
      </c>
      <c r="AC170" s="31">
        <f t="shared" si="110"/>
        <v>0</v>
      </c>
      <c r="AD170" s="31">
        <f t="shared" si="111"/>
        <v>0</v>
      </c>
      <c r="AE170" s="31">
        <f t="shared" si="108"/>
        <v>0</v>
      </c>
      <c r="AF170" s="31">
        <f t="shared" si="109"/>
        <v>0</v>
      </c>
      <c r="AI170" s="51"/>
      <c r="AJ170" s="51"/>
      <c r="AK170" s="51"/>
      <c r="AL170" s="51">
        <f t="shared" si="105"/>
        <v>0</v>
      </c>
      <c r="AM170" s="51">
        <f t="shared" si="106"/>
        <v>0</v>
      </c>
    </row>
    <row r="171" spans="1:39" s="40" customFormat="1" ht="12.75" customHeight="1">
      <c r="A171" s="39" t="s">
        <v>295</v>
      </c>
      <c r="C171" s="40" t="s">
        <v>296</v>
      </c>
      <c r="D171" s="31"/>
      <c r="E171" s="31">
        <v>1122233</v>
      </c>
      <c r="F171" s="31"/>
      <c r="G171" s="31">
        <v>1083845</v>
      </c>
      <c r="H171" s="31">
        <v>1300000</v>
      </c>
      <c r="I171" s="31">
        <v>1300000</v>
      </c>
      <c r="J171" s="31">
        <v>1102205.13</v>
      </c>
      <c r="K171" s="31">
        <v>1300000</v>
      </c>
      <c r="L171" s="41">
        <f aca="true" t="shared" si="112" ref="L171:L185">K171/J171*100</f>
        <v>117.94537737272191</v>
      </c>
      <c r="M171" s="31">
        <v>1300000</v>
      </c>
      <c r="N171" s="42">
        <f t="shared" si="92"/>
        <v>9.598142529891962E-05</v>
      </c>
      <c r="O171" s="31">
        <v>1300000</v>
      </c>
      <c r="P171" s="31"/>
      <c r="Q171" s="41">
        <f t="shared" si="100"/>
        <v>117.94537737272191</v>
      </c>
      <c r="R171" s="41">
        <f>O171/M171*100</f>
        <v>100</v>
      </c>
      <c r="S171" s="31">
        <v>1400000</v>
      </c>
      <c r="T171" s="42">
        <f t="shared" si="93"/>
        <v>9.634604891167521E-05</v>
      </c>
      <c r="U171" s="41">
        <f t="shared" si="101"/>
        <v>107.6923076923077</v>
      </c>
      <c r="V171" s="41">
        <f t="shared" si="102"/>
        <v>107.6923076923077</v>
      </c>
      <c r="W171" s="31">
        <v>1500000</v>
      </c>
      <c r="X171" s="41">
        <f aca="true" t="shared" si="113" ref="X171:X179">W171/S171*100</f>
        <v>107.14285714285714</v>
      </c>
      <c r="Y171" s="31">
        <v>1550000</v>
      </c>
      <c r="Z171" s="41">
        <f t="shared" si="103"/>
        <v>103.33333333333334</v>
      </c>
      <c r="AA171" s="31">
        <v>1600000</v>
      </c>
      <c r="AB171" s="41">
        <f t="shared" si="104"/>
        <v>103.2258064516129</v>
      </c>
      <c r="AC171" s="31">
        <f t="shared" si="110"/>
        <v>1552499.9999999998</v>
      </c>
      <c r="AD171" s="31">
        <f t="shared" si="111"/>
        <v>1594949.9999999998</v>
      </c>
      <c r="AE171" s="31">
        <f t="shared" si="108"/>
        <v>1374100</v>
      </c>
      <c r="AF171" s="31">
        <f t="shared" si="109"/>
        <v>1463000</v>
      </c>
      <c r="AI171" s="31">
        <v>1400000</v>
      </c>
      <c r="AJ171" s="31">
        <v>1400000</v>
      </c>
      <c r="AK171" s="31">
        <v>1400000</v>
      </c>
      <c r="AL171" s="31">
        <f t="shared" si="105"/>
        <v>0</v>
      </c>
      <c r="AM171" s="31">
        <f t="shared" si="106"/>
        <v>0</v>
      </c>
    </row>
    <row r="172" spans="1:39" s="40" customFormat="1" ht="12.75" customHeight="1">
      <c r="A172" s="39" t="s">
        <v>297</v>
      </c>
      <c r="C172" s="40" t="s">
        <v>298</v>
      </c>
      <c r="D172" s="31">
        <f>SUM(D173:D185)</f>
        <v>1454443000</v>
      </c>
      <c r="E172" s="31">
        <f>SUM(E173:E185)</f>
        <v>17517853</v>
      </c>
      <c r="F172" s="31">
        <f>SUM(F173:F185)</f>
        <v>1174678000</v>
      </c>
      <c r="G172" s="31">
        <f>SUM(G173:G185)</f>
        <v>15082899</v>
      </c>
      <c r="H172" s="31">
        <f>SUM(H173:H174)</f>
        <v>18100000</v>
      </c>
      <c r="I172" s="31">
        <f>SUM(I173:I185)</f>
        <v>22630000</v>
      </c>
      <c r="J172" s="31">
        <f>SUM(J173:J185)</f>
        <v>27005458.930000003</v>
      </c>
      <c r="K172" s="31">
        <f>SUM(K173:K185)</f>
        <v>20700000</v>
      </c>
      <c r="L172" s="41">
        <f t="shared" si="112"/>
        <v>76.65116913456578</v>
      </c>
      <c r="M172" s="31">
        <f>SUM(M173:M185)</f>
        <v>25700000</v>
      </c>
      <c r="N172" s="42">
        <f t="shared" si="92"/>
        <v>0.0018974789462940264</v>
      </c>
      <c r="O172" s="31">
        <f>SUM(O173:O185)</f>
        <v>23300000</v>
      </c>
      <c r="P172" s="31"/>
      <c r="Q172" s="41">
        <f t="shared" si="100"/>
        <v>86.27885221426969</v>
      </c>
      <c r="R172" s="41">
        <f>O172/M172*100</f>
        <v>90.6614785992218</v>
      </c>
      <c r="S172" s="31">
        <f>SUM(S173:S185)</f>
        <v>28637000</v>
      </c>
      <c r="T172" s="42">
        <f t="shared" si="93"/>
        <v>0.0019707584304883164</v>
      </c>
      <c r="U172" s="41">
        <f t="shared" si="101"/>
        <v>111.42801556420234</v>
      </c>
      <c r="V172" s="41">
        <f t="shared" si="102"/>
        <v>122.90557939914164</v>
      </c>
      <c r="W172" s="31">
        <f>SUM(W173:W185)</f>
        <v>29687000</v>
      </c>
      <c r="X172" s="41">
        <f t="shared" si="113"/>
        <v>103.66658518699585</v>
      </c>
      <c r="Y172" s="31">
        <f>SUM(Y173:Y185)</f>
        <v>30357000</v>
      </c>
      <c r="Z172" s="41">
        <f t="shared" si="103"/>
        <v>102.25688011587563</v>
      </c>
      <c r="AA172" s="31">
        <f>SUM(AA173:AA185)</f>
        <v>30937000</v>
      </c>
      <c r="AB172" s="41">
        <f t="shared" si="104"/>
        <v>101.91059722633989</v>
      </c>
      <c r="AC172" s="31">
        <f t="shared" si="110"/>
        <v>30726044.999999996</v>
      </c>
      <c r="AD172" s="31">
        <f t="shared" si="111"/>
        <v>31237352.999999996</v>
      </c>
      <c r="AE172" s="31">
        <f t="shared" si="108"/>
        <v>27164900</v>
      </c>
      <c r="AF172" s="31">
        <f t="shared" si="109"/>
        <v>29925664.999999996</v>
      </c>
      <c r="AI172" s="31">
        <f>SUM(AI173:AI185)</f>
        <v>28637000</v>
      </c>
      <c r="AJ172" s="31">
        <f>SUM(AJ173:AJ185)</f>
        <v>28637000</v>
      </c>
      <c r="AK172" s="31">
        <f>SUM(AK173:AK185)</f>
        <v>28637000</v>
      </c>
      <c r="AL172" s="31">
        <f t="shared" si="105"/>
        <v>0</v>
      </c>
      <c r="AM172" s="31">
        <f t="shared" si="106"/>
        <v>0</v>
      </c>
    </row>
    <row r="173" spans="1:39" s="50" customFormat="1" ht="12.75" customHeight="1">
      <c r="A173" s="48" t="s">
        <v>299</v>
      </c>
      <c r="B173" s="49"/>
      <c r="C173" s="50" t="s">
        <v>300</v>
      </c>
      <c r="D173" s="51"/>
      <c r="E173" s="51">
        <v>7731655</v>
      </c>
      <c r="F173" s="51"/>
      <c r="G173" s="51">
        <v>7027296</v>
      </c>
      <c r="H173" s="51">
        <v>10100000</v>
      </c>
      <c r="I173" s="51">
        <v>8330000</v>
      </c>
      <c r="J173" s="51">
        <v>6971546.19</v>
      </c>
      <c r="K173" s="51">
        <v>10700000</v>
      </c>
      <c r="L173" s="52">
        <f t="shared" si="112"/>
        <v>153.48101709988094</v>
      </c>
      <c r="M173" s="51">
        <v>10700000</v>
      </c>
      <c r="N173" s="53">
        <f t="shared" si="92"/>
        <v>0.000790000962075723</v>
      </c>
      <c r="O173" s="51">
        <v>10700000</v>
      </c>
      <c r="P173" s="51"/>
      <c r="Q173" s="52">
        <f t="shared" si="100"/>
        <v>153.48101709988094</v>
      </c>
      <c r="R173" s="52">
        <f>O173/M173*100</f>
        <v>100</v>
      </c>
      <c r="S173" s="51">
        <v>12000000</v>
      </c>
      <c r="T173" s="53">
        <f t="shared" si="93"/>
        <v>0.0008258232763857875</v>
      </c>
      <c r="U173" s="52">
        <f t="shared" si="101"/>
        <v>112.14953271028037</v>
      </c>
      <c r="V173" s="52">
        <f t="shared" si="102"/>
        <v>112.14953271028037</v>
      </c>
      <c r="W173" s="51">
        <v>12500000</v>
      </c>
      <c r="X173" s="52">
        <f t="shared" si="113"/>
        <v>104.16666666666667</v>
      </c>
      <c r="Y173" s="51">
        <v>13000000</v>
      </c>
      <c r="Z173" s="52">
        <f t="shared" si="103"/>
        <v>104</v>
      </c>
      <c r="AA173" s="51">
        <v>13400000</v>
      </c>
      <c r="AB173" s="52">
        <f t="shared" si="104"/>
        <v>103.07692307692307</v>
      </c>
      <c r="AC173" s="31">
        <f t="shared" si="110"/>
        <v>12937499.999999998</v>
      </c>
      <c r="AD173" s="31">
        <f t="shared" si="111"/>
        <v>13376999.999999998</v>
      </c>
      <c r="AE173" s="31">
        <f t="shared" si="108"/>
        <v>11309900</v>
      </c>
      <c r="AF173" s="31">
        <f t="shared" si="109"/>
        <v>12540000</v>
      </c>
      <c r="AI173" s="51">
        <v>12000000</v>
      </c>
      <c r="AJ173" s="51">
        <v>12000000</v>
      </c>
      <c r="AK173" s="51">
        <v>12000000</v>
      </c>
      <c r="AL173" s="51">
        <f t="shared" si="105"/>
        <v>0</v>
      </c>
      <c r="AM173" s="51">
        <f t="shared" si="106"/>
        <v>0</v>
      </c>
    </row>
    <row r="174" spans="1:39" s="50" customFormat="1" ht="11.25">
      <c r="A174" s="48" t="s">
        <v>301</v>
      </c>
      <c r="B174" s="49"/>
      <c r="C174" s="50" t="s">
        <v>302</v>
      </c>
      <c r="D174" s="51"/>
      <c r="E174" s="51">
        <v>1825117</v>
      </c>
      <c r="F174" s="51"/>
      <c r="G174" s="51">
        <v>2722189</v>
      </c>
      <c r="H174" s="51">
        <v>8000000</v>
      </c>
      <c r="I174" s="51">
        <v>700000</v>
      </c>
      <c r="J174" s="51">
        <v>249150.4</v>
      </c>
      <c r="K174" s="51"/>
      <c r="L174" s="52">
        <f t="shared" si="112"/>
        <v>0</v>
      </c>
      <c r="M174" s="51"/>
      <c r="N174" s="53">
        <f t="shared" si="92"/>
        <v>0</v>
      </c>
      <c r="O174" s="51"/>
      <c r="P174" s="51"/>
      <c r="Q174" s="52"/>
      <c r="R174" s="52"/>
      <c r="S174" s="51">
        <v>7637000</v>
      </c>
      <c r="T174" s="53">
        <f t="shared" si="93"/>
        <v>0.0005255676968131882</v>
      </c>
      <c r="U174" s="52"/>
      <c r="V174" s="52"/>
      <c r="W174" s="51">
        <v>7637000</v>
      </c>
      <c r="X174" s="52">
        <f t="shared" si="113"/>
        <v>100</v>
      </c>
      <c r="Y174" s="51">
        <v>7637000</v>
      </c>
      <c r="Z174" s="52">
        <f t="shared" si="103"/>
        <v>100</v>
      </c>
      <c r="AA174" s="51">
        <v>7637000</v>
      </c>
      <c r="AB174" s="52">
        <f t="shared" si="104"/>
        <v>100</v>
      </c>
      <c r="AC174" s="31">
        <f t="shared" si="110"/>
        <v>7904294.999999999</v>
      </c>
      <c r="AD174" s="31">
        <f t="shared" si="111"/>
        <v>7858472.999999999</v>
      </c>
      <c r="AE174" s="31">
        <f t="shared" si="108"/>
        <v>0</v>
      </c>
      <c r="AF174" s="31">
        <f t="shared" si="109"/>
        <v>7980664.999999999</v>
      </c>
      <c r="AI174" s="51">
        <v>7637000</v>
      </c>
      <c r="AJ174" s="51">
        <v>7637000</v>
      </c>
      <c r="AK174" s="51">
        <v>7637000</v>
      </c>
      <c r="AL174" s="51">
        <f t="shared" si="105"/>
        <v>0</v>
      </c>
      <c r="AM174" s="51">
        <f t="shared" si="106"/>
        <v>0</v>
      </c>
    </row>
    <row r="175" spans="1:39" s="50" customFormat="1" ht="11.25">
      <c r="A175" s="48" t="s">
        <v>303</v>
      </c>
      <c r="B175" s="49"/>
      <c r="C175" s="50" t="s">
        <v>304</v>
      </c>
      <c r="D175" s="51"/>
      <c r="E175" s="51"/>
      <c r="F175" s="51"/>
      <c r="G175" s="51"/>
      <c r="H175" s="51"/>
      <c r="I175" s="51"/>
      <c r="J175" s="51">
        <v>4609523.53</v>
      </c>
      <c r="K175" s="51"/>
      <c r="L175" s="52">
        <f t="shared" si="112"/>
        <v>0</v>
      </c>
      <c r="M175" s="51">
        <v>5000000</v>
      </c>
      <c r="N175" s="53">
        <f t="shared" si="92"/>
        <v>0.00036915932807276777</v>
      </c>
      <c r="O175" s="51">
        <v>5000000</v>
      </c>
      <c r="P175" s="51"/>
      <c r="Q175" s="52">
        <f aca="true" t="shared" si="114" ref="Q175:Q185">O175/J175*100</f>
        <v>108.47108095790543</v>
      </c>
      <c r="R175" s="52">
        <f aca="true" t="shared" si="115" ref="R175:R180">O175/M175*100</f>
        <v>100</v>
      </c>
      <c r="S175" s="51">
        <v>5000000</v>
      </c>
      <c r="T175" s="53">
        <f t="shared" si="93"/>
        <v>0.00034409303182741143</v>
      </c>
      <c r="U175" s="52">
        <f aca="true" t="shared" si="116" ref="U175:U180">S175/M175*100</f>
        <v>100</v>
      </c>
      <c r="V175" s="52">
        <f aca="true" t="shared" si="117" ref="V175:V185">S175/O175*100</f>
        <v>100</v>
      </c>
      <c r="W175" s="51">
        <v>5000000</v>
      </c>
      <c r="X175" s="52">
        <f t="shared" si="113"/>
        <v>100</v>
      </c>
      <c r="Y175" s="51">
        <v>5000000</v>
      </c>
      <c r="Z175" s="52">
        <f t="shared" si="103"/>
        <v>100</v>
      </c>
      <c r="AA175" s="51">
        <v>5000000</v>
      </c>
      <c r="AB175" s="52">
        <f t="shared" si="104"/>
        <v>100</v>
      </c>
      <c r="AC175" s="31">
        <f t="shared" si="110"/>
        <v>5175000</v>
      </c>
      <c r="AD175" s="31">
        <f t="shared" si="111"/>
        <v>5145000</v>
      </c>
      <c r="AE175" s="31">
        <f t="shared" si="108"/>
        <v>5285000</v>
      </c>
      <c r="AF175" s="31">
        <f t="shared" si="109"/>
        <v>5225000</v>
      </c>
      <c r="AI175" s="51">
        <v>5000000</v>
      </c>
      <c r="AJ175" s="51">
        <v>5000000</v>
      </c>
      <c r="AK175" s="51">
        <v>5000000</v>
      </c>
      <c r="AL175" s="51">
        <f t="shared" si="105"/>
        <v>0</v>
      </c>
      <c r="AM175" s="51">
        <f t="shared" si="106"/>
        <v>0</v>
      </c>
    </row>
    <row r="176" spans="1:39" s="50" customFormat="1" ht="11.25">
      <c r="A176" s="48" t="s">
        <v>305</v>
      </c>
      <c r="B176" s="49"/>
      <c r="C176" s="50" t="s">
        <v>306</v>
      </c>
      <c r="D176" s="51"/>
      <c r="E176" s="51"/>
      <c r="F176" s="51"/>
      <c r="G176" s="51">
        <v>445899</v>
      </c>
      <c r="H176" s="51">
        <v>500000</v>
      </c>
      <c r="I176" s="51">
        <v>500000</v>
      </c>
      <c r="J176" s="51">
        <v>151400</v>
      </c>
      <c r="K176" s="51">
        <v>500000</v>
      </c>
      <c r="L176" s="52">
        <f t="shared" si="112"/>
        <v>330.25099075297226</v>
      </c>
      <c r="M176" s="51">
        <v>500000</v>
      </c>
      <c r="N176" s="53">
        <f t="shared" si="92"/>
        <v>3.6915932807276776E-05</v>
      </c>
      <c r="O176" s="51">
        <f>500000-400000</f>
        <v>100000</v>
      </c>
      <c r="P176" s="51"/>
      <c r="Q176" s="52">
        <f t="shared" si="114"/>
        <v>66.05019815059445</v>
      </c>
      <c r="R176" s="52">
        <f t="shared" si="115"/>
        <v>20</v>
      </c>
      <c r="S176" s="51">
        <v>500000</v>
      </c>
      <c r="T176" s="53">
        <f t="shared" si="93"/>
        <v>3.440930318274114E-05</v>
      </c>
      <c r="U176" s="52">
        <f t="shared" si="116"/>
        <v>100</v>
      </c>
      <c r="V176" s="52">
        <f t="shared" si="117"/>
        <v>500</v>
      </c>
      <c r="W176" s="51">
        <v>1000000</v>
      </c>
      <c r="X176" s="52">
        <f t="shared" si="113"/>
        <v>200</v>
      </c>
      <c r="Y176" s="51">
        <v>1000000</v>
      </c>
      <c r="Z176" s="52">
        <f t="shared" si="103"/>
        <v>100</v>
      </c>
      <c r="AA176" s="51">
        <v>1000000</v>
      </c>
      <c r="AB176" s="52">
        <f t="shared" si="104"/>
        <v>100</v>
      </c>
      <c r="AC176" s="31">
        <f t="shared" si="110"/>
        <v>1034999.9999999999</v>
      </c>
      <c r="AD176" s="31">
        <f t="shared" si="111"/>
        <v>1028999.9999999999</v>
      </c>
      <c r="AE176" s="31">
        <f t="shared" si="108"/>
        <v>528500</v>
      </c>
      <c r="AF176" s="31">
        <f t="shared" si="109"/>
        <v>522499.99999999994</v>
      </c>
      <c r="AI176" s="51">
        <v>500000</v>
      </c>
      <c r="AJ176" s="51">
        <v>500000</v>
      </c>
      <c r="AK176" s="51">
        <v>500000</v>
      </c>
      <c r="AL176" s="51">
        <f t="shared" si="105"/>
        <v>0</v>
      </c>
      <c r="AM176" s="51">
        <f t="shared" si="106"/>
        <v>0</v>
      </c>
    </row>
    <row r="177" spans="1:39" s="50" customFormat="1" ht="11.25">
      <c r="A177" s="48" t="s">
        <v>307</v>
      </c>
      <c r="B177" s="49"/>
      <c r="C177" s="50" t="s">
        <v>308</v>
      </c>
      <c r="D177" s="51"/>
      <c r="E177" s="51">
        <v>619130</v>
      </c>
      <c r="F177" s="51"/>
      <c r="G177" s="51">
        <v>37559</v>
      </c>
      <c r="H177" s="51">
        <v>100000</v>
      </c>
      <c r="I177" s="51">
        <v>500000</v>
      </c>
      <c r="J177" s="51">
        <v>454648.4</v>
      </c>
      <c r="K177" s="51">
        <v>500000</v>
      </c>
      <c r="L177" s="52">
        <f t="shared" si="112"/>
        <v>109.97509284097337</v>
      </c>
      <c r="M177" s="51">
        <v>500000</v>
      </c>
      <c r="N177" s="53">
        <f aca="true" t="shared" si="118" ref="N177:N208">M177/$M$9</f>
        <v>3.6915932807276776E-05</v>
      </c>
      <c r="O177" s="51">
        <v>500000</v>
      </c>
      <c r="P177" s="51"/>
      <c r="Q177" s="52">
        <f t="shared" si="114"/>
        <v>109.97509284097337</v>
      </c>
      <c r="R177" s="52">
        <f t="shared" si="115"/>
        <v>100</v>
      </c>
      <c r="S177" s="51">
        <v>500000</v>
      </c>
      <c r="T177" s="53">
        <f aca="true" t="shared" si="119" ref="T177:T208">S177/$S$9</f>
        <v>3.440930318274114E-05</v>
      </c>
      <c r="U177" s="52">
        <f t="shared" si="116"/>
        <v>100</v>
      </c>
      <c r="V177" s="52">
        <f t="shared" si="117"/>
        <v>100</v>
      </c>
      <c r="W177" s="51">
        <v>500000</v>
      </c>
      <c r="X177" s="52">
        <f t="shared" si="113"/>
        <v>100</v>
      </c>
      <c r="Y177" s="51">
        <v>550000</v>
      </c>
      <c r="Z177" s="52">
        <f t="shared" si="103"/>
        <v>110.00000000000001</v>
      </c>
      <c r="AA177" s="51">
        <v>600000</v>
      </c>
      <c r="AB177" s="52">
        <f t="shared" si="104"/>
        <v>109.09090909090908</v>
      </c>
      <c r="AC177" s="31">
        <f t="shared" si="110"/>
        <v>517499.99999999994</v>
      </c>
      <c r="AD177" s="31">
        <f t="shared" si="111"/>
        <v>565950</v>
      </c>
      <c r="AE177" s="31">
        <f t="shared" si="108"/>
        <v>528500</v>
      </c>
      <c r="AF177" s="31">
        <f t="shared" si="109"/>
        <v>522499.99999999994</v>
      </c>
      <c r="AI177" s="51">
        <v>500000</v>
      </c>
      <c r="AJ177" s="51">
        <v>500000</v>
      </c>
      <c r="AK177" s="51">
        <v>500000</v>
      </c>
      <c r="AL177" s="51">
        <f t="shared" si="105"/>
        <v>0</v>
      </c>
      <c r="AM177" s="51">
        <f t="shared" si="106"/>
        <v>0</v>
      </c>
    </row>
    <row r="178" spans="1:39" s="50" customFormat="1" ht="11.25">
      <c r="A178" s="48" t="s">
        <v>309</v>
      </c>
      <c r="B178" s="49"/>
      <c r="C178" s="50" t="s">
        <v>310</v>
      </c>
      <c r="D178" s="51"/>
      <c r="E178" s="51"/>
      <c r="F178" s="51"/>
      <c r="G178" s="51"/>
      <c r="H178" s="51">
        <v>500000</v>
      </c>
      <c r="I178" s="51">
        <v>300000</v>
      </c>
      <c r="J178" s="51">
        <v>280000</v>
      </c>
      <c r="K178" s="51">
        <v>500000</v>
      </c>
      <c r="L178" s="52">
        <f t="shared" si="112"/>
        <v>178.57142857142858</v>
      </c>
      <c r="M178" s="51">
        <v>500000</v>
      </c>
      <c r="N178" s="53">
        <f t="shared" si="118"/>
        <v>3.6915932807276776E-05</v>
      </c>
      <c r="O178" s="51">
        <f>500000-300000</f>
        <v>200000</v>
      </c>
      <c r="P178" s="51"/>
      <c r="Q178" s="52">
        <f t="shared" si="114"/>
        <v>71.42857142857143</v>
      </c>
      <c r="R178" s="52">
        <f t="shared" si="115"/>
        <v>40</v>
      </c>
      <c r="S178" s="51">
        <v>500000</v>
      </c>
      <c r="T178" s="53">
        <f t="shared" si="119"/>
        <v>3.440930318274114E-05</v>
      </c>
      <c r="U178" s="52">
        <f t="shared" si="116"/>
        <v>100</v>
      </c>
      <c r="V178" s="52">
        <f t="shared" si="117"/>
        <v>250</v>
      </c>
      <c r="W178" s="51">
        <v>550000</v>
      </c>
      <c r="X178" s="52">
        <f t="shared" si="113"/>
        <v>110.00000000000001</v>
      </c>
      <c r="Y178" s="51">
        <v>570000</v>
      </c>
      <c r="Z178" s="52">
        <f t="shared" si="103"/>
        <v>103.63636363636364</v>
      </c>
      <c r="AA178" s="51">
        <v>600000</v>
      </c>
      <c r="AB178" s="52">
        <f t="shared" si="104"/>
        <v>105.26315789473684</v>
      </c>
      <c r="AC178" s="31">
        <f t="shared" si="110"/>
        <v>569250</v>
      </c>
      <c r="AD178" s="31">
        <f t="shared" si="111"/>
        <v>586530</v>
      </c>
      <c r="AE178" s="31">
        <f t="shared" si="108"/>
        <v>528500</v>
      </c>
      <c r="AF178" s="31">
        <f t="shared" si="109"/>
        <v>522499.99999999994</v>
      </c>
      <c r="AI178" s="51">
        <v>500000</v>
      </c>
      <c r="AJ178" s="51">
        <v>500000</v>
      </c>
      <c r="AK178" s="51">
        <v>500000</v>
      </c>
      <c r="AL178" s="51">
        <f t="shared" si="105"/>
        <v>0</v>
      </c>
      <c r="AM178" s="51">
        <f t="shared" si="106"/>
        <v>0</v>
      </c>
    </row>
    <row r="179" spans="1:39" s="50" customFormat="1" ht="11.25">
      <c r="A179" s="48" t="s">
        <v>311</v>
      </c>
      <c r="B179" s="49"/>
      <c r="C179" s="50" t="s">
        <v>312</v>
      </c>
      <c r="D179" s="51"/>
      <c r="E179" s="51">
        <v>1387527</v>
      </c>
      <c r="F179" s="51"/>
      <c r="G179" s="51">
        <v>1268960</v>
      </c>
      <c r="H179" s="51">
        <v>1500000</v>
      </c>
      <c r="I179" s="51">
        <v>1500000</v>
      </c>
      <c r="J179" s="51">
        <v>1811268.8</v>
      </c>
      <c r="K179" s="51">
        <v>500000</v>
      </c>
      <c r="L179" s="52">
        <f t="shared" si="112"/>
        <v>27.604958468892082</v>
      </c>
      <c r="M179" s="51">
        <v>500000</v>
      </c>
      <c r="N179" s="53">
        <f t="shared" si="118"/>
        <v>3.6915932807276776E-05</v>
      </c>
      <c r="O179" s="51">
        <v>2500000</v>
      </c>
      <c r="P179" s="51"/>
      <c r="Q179" s="52">
        <f t="shared" si="114"/>
        <v>138.02479234446042</v>
      </c>
      <c r="R179" s="52">
        <f t="shared" si="115"/>
        <v>500</v>
      </c>
      <c r="S179" s="51">
        <v>2500000</v>
      </c>
      <c r="T179" s="53">
        <f t="shared" si="119"/>
        <v>0.00017204651591370572</v>
      </c>
      <c r="U179" s="52">
        <f t="shared" si="116"/>
        <v>500</v>
      </c>
      <c r="V179" s="52">
        <f t="shared" si="117"/>
        <v>100</v>
      </c>
      <c r="W179" s="51">
        <v>2500000</v>
      </c>
      <c r="X179" s="52">
        <f t="shared" si="113"/>
        <v>100</v>
      </c>
      <c r="Y179" s="51">
        <v>2600000</v>
      </c>
      <c r="Z179" s="52">
        <f t="shared" si="103"/>
        <v>104</v>
      </c>
      <c r="AA179" s="51">
        <v>2700000</v>
      </c>
      <c r="AB179" s="52">
        <f t="shared" si="104"/>
        <v>103.84615384615385</v>
      </c>
      <c r="AC179" s="31">
        <f t="shared" si="110"/>
        <v>2587500</v>
      </c>
      <c r="AD179" s="31">
        <f t="shared" si="111"/>
        <v>2675400</v>
      </c>
      <c r="AE179" s="31">
        <f t="shared" si="108"/>
        <v>528500</v>
      </c>
      <c r="AF179" s="31">
        <f t="shared" si="109"/>
        <v>2612500</v>
      </c>
      <c r="AI179" s="51">
        <v>2500000</v>
      </c>
      <c r="AJ179" s="51">
        <v>2500000</v>
      </c>
      <c r="AK179" s="51">
        <v>2500000</v>
      </c>
      <c r="AL179" s="51">
        <f t="shared" si="105"/>
        <v>0</v>
      </c>
      <c r="AM179" s="51">
        <f t="shared" si="106"/>
        <v>0</v>
      </c>
    </row>
    <row r="180" spans="1:39" s="50" customFormat="1" ht="11.25">
      <c r="A180" s="48" t="s">
        <v>313</v>
      </c>
      <c r="B180" s="49"/>
      <c r="C180" s="50" t="s">
        <v>314</v>
      </c>
      <c r="D180" s="51"/>
      <c r="E180" s="51"/>
      <c r="F180" s="51"/>
      <c r="G180" s="51">
        <v>3580996</v>
      </c>
      <c r="H180" s="51">
        <v>1500000</v>
      </c>
      <c r="I180" s="51">
        <v>1000000</v>
      </c>
      <c r="J180" s="51">
        <v>743124.11</v>
      </c>
      <c r="K180" s="51">
        <v>1000000</v>
      </c>
      <c r="L180" s="52">
        <f t="shared" si="112"/>
        <v>134.5670240735427</v>
      </c>
      <c r="M180" s="51">
        <v>1000000</v>
      </c>
      <c r="N180" s="53">
        <f t="shared" si="118"/>
        <v>7.383186561455355E-05</v>
      </c>
      <c r="O180" s="51">
        <f>1000000-500000</f>
        <v>500000</v>
      </c>
      <c r="P180" s="51"/>
      <c r="Q180" s="52">
        <f t="shared" si="114"/>
        <v>67.28351203677136</v>
      </c>
      <c r="R180" s="52">
        <f t="shared" si="115"/>
        <v>50</v>
      </c>
      <c r="S180" s="51"/>
      <c r="T180" s="53">
        <f t="shared" si="119"/>
        <v>0</v>
      </c>
      <c r="U180" s="52">
        <f t="shared" si="116"/>
        <v>0</v>
      </c>
      <c r="V180" s="52">
        <f t="shared" si="117"/>
        <v>0</v>
      </c>
      <c r="W180" s="51"/>
      <c r="X180" s="52"/>
      <c r="Y180" s="51"/>
      <c r="Z180" s="52"/>
      <c r="AA180" s="51"/>
      <c r="AB180" s="52"/>
      <c r="AC180" s="31">
        <f t="shared" si="110"/>
        <v>0</v>
      </c>
      <c r="AD180" s="31">
        <f t="shared" si="111"/>
        <v>0</v>
      </c>
      <c r="AE180" s="31">
        <f t="shared" si="108"/>
        <v>1057000</v>
      </c>
      <c r="AF180" s="31">
        <f t="shared" si="109"/>
        <v>0</v>
      </c>
      <c r="AI180" s="51"/>
      <c r="AJ180" s="51"/>
      <c r="AK180" s="51"/>
      <c r="AL180" s="51">
        <f t="shared" si="105"/>
        <v>0</v>
      </c>
      <c r="AM180" s="51">
        <f t="shared" si="106"/>
        <v>0</v>
      </c>
    </row>
    <row r="181" spans="1:39" s="50" customFormat="1" ht="11.25">
      <c r="A181" s="48" t="s">
        <v>315</v>
      </c>
      <c r="B181" s="49"/>
      <c r="C181" s="50" t="s">
        <v>316</v>
      </c>
      <c r="D181" s="51"/>
      <c r="E181" s="51">
        <v>5954424</v>
      </c>
      <c r="F181" s="51"/>
      <c r="G181" s="51"/>
      <c r="H181" s="51">
        <v>1000000</v>
      </c>
      <c r="I181" s="51">
        <v>1000000</v>
      </c>
      <c r="J181" s="51">
        <f>502484.7+4590000</f>
        <v>5092484.7</v>
      </c>
      <c r="K181" s="51"/>
      <c r="L181" s="52">
        <f t="shared" si="112"/>
        <v>0</v>
      </c>
      <c r="M181" s="51"/>
      <c r="N181" s="53">
        <f t="shared" si="118"/>
        <v>0</v>
      </c>
      <c r="O181" s="51">
        <f>600000+900000</f>
        <v>1500000</v>
      </c>
      <c r="P181" s="51"/>
      <c r="Q181" s="52">
        <f t="shared" si="114"/>
        <v>29.4551694971219</v>
      </c>
      <c r="R181" s="52"/>
      <c r="S181" s="51"/>
      <c r="T181" s="53">
        <f t="shared" si="119"/>
        <v>0</v>
      </c>
      <c r="U181" s="52"/>
      <c r="V181" s="52">
        <f t="shared" si="117"/>
        <v>0</v>
      </c>
      <c r="W181" s="51"/>
      <c r="X181" s="52"/>
      <c r="Y181" s="51"/>
      <c r="Z181" s="52"/>
      <c r="AA181" s="51"/>
      <c r="AB181" s="52"/>
      <c r="AC181" s="31">
        <f t="shared" si="110"/>
        <v>0</v>
      </c>
      <c r="AD181" s="31">
        <f t="shared" si="111"/>
        <v>0</v>
      </c>
      <c r="AE181" s="31">
        <f t="shared" si="108"/>
        <v>0</v>
      </c>
      <c r="AF181" s="31">
        <f t="shared" si="109"/>
        <v>0</v>
      </c>
      <c r="AI181" s="51"/>
      <c r="AJ181" s="51"/>
      <c r="AK181" s="51"/>
      <c r="AL181" s="51">
        <f t="shared" si="105"/>
        <v>0</v>
      </c>
      <c r="AM181" s="51">
        <f t="shared" si="106"/>
        <v>0</v>
      </c>
    </row>
    <row r="182" spans="1:39" s="50" customFormat="1" ht="11.25">
      <c r="A182" s="48" t="s">
        <v>317</v>
      </c>
      <c r="B182" s="49"/>
      <c r="C182" s="50" t="s">
        <v>318</v>
      </c>
      <c r="D182" s="51"/>
      <c r="E182" s="51"/>
      <c r="F182" s="51"/>
      <c r="G182" s="51"/>
      <c r="H182" s="51">
        <v>1000000</v>
      </c>
      <c r="I182" s="51">
        <v>1000000</v>
      </c>
      <c r="J182" s="51">
        <v>310000</v>
      </c>
      <c r="K182" s="51"/>
      <c r="L182" s="52">
        <f t="shared" si="112"/>
        <v>0</v>
      </c>
      <c r="M182" s="51"/>
      <c r="N182" s="53">
        <f t="shared" si="118"/>
        <v>0</v>
      </c>
      <c r="O182" s="51">
        <v>600000</v>
      </c>
      <c r="P182" s="51"/>
      <c r="Q182" s="52">
        <f t="shared" si="114"/>
        <v>193.5483870967742</v>
      </c>
      <c r="R182" s="52"/>
      <c r="S182" s="51"/>
      <c r="T182" s="53">
        <f t="shared" si="119"/>
        <v>0</v>
      </c>
      <c r="U182" s="52"/>
      <c r="V182" s="52">
        <f t="shared" si="117"/>
        <v>0</v>
      </c>
      <c r="W182" s="51"/>
      <c r="X182" s="52"/>
      <c r="Y182" s="51"/>
      <c r="Z182" s="52"/>
      <c r="AA182" s="51"/>
      <c r="AB182" s="52"/>
      <c r="AC182" s="31">
        <f t="shared" si="110"/>
        <v>0</v>
      </c>
      <c r="AD182" s="31">
        <f t="shared" si="111"/>
        <v>0</v>
      </c>
      <c r="AE182" s="31">
        <f t="shared" si="108"/>
        <v>0</v>
      </c>
      <c r="AF182" s="31">
        <f t="shared" si="109"/>
        <v>0</v>
      </c>
      <c r="AI182" s="51"/>
      <c r="AJ182" s="51"/>
      <c r="AK182" s="51"/>
      <c r="AL182" s="51">
        <f t="shared" si="105"/>
        <v>0</v>
      </c>
      <c r="AM182" s="51">
        <f t="shared" si="106"/>
        <v>0</v>
      </c>
    </row>
    <row r="183" spans="1:39" s="50" customFormat="1" ht="11.25">
      <c r="A183" s="48" t="s">
        <v>319</v>
      </c>
      <c r="B183" s="49"/>
      <c r="C183" s="50" t="s">
        <v>320</v>
      </c>
      <c r="D183" s="51"/>
      <c r="E183" s="51"/>
      <c r="F183" s="51"/>
      <c r="G183" s="51"/>
      <c r="H183" s="51">
        <v>4000000</v>
      </c>
      <c r="I183" s="51">
        <v>2000000</v>
      </c>
      <c r="J183" s="51">
        <v>1317640</v>
      </c>
      <c r="K183" s="51">
        <f>3000000+1000000</f>
        <v>4000000</v>
      </c>
      <c r="L183" s="52">
        <f t="shared" si="112"/>
        <v>303.573054855651</v>
      </c>
      <c r="M183" s="51">
        <f>3000000+1000000</f>
        <v>4000000</v>
      </c>
      <c r="N183" s="53">
        <f t="shared" si="118"/>
        <v>0.0002953274624582142</v>
      </c>
      <c r="O183" s="51">
        <v>100000</v>
      </c>
      <c r="P183" s="51"/>
      <c r="Q183" s="52">
        <f t="shared" si="114"/>
        <v>7.589326371391275</v>
      </c>
      <c r="R183" s="52">
        <f>O183/M183*100</f>
        <v>2.5</v>
      </c>
      <c r="S183" s="51"/>
      <c r="T183" s="53">
        <f t="shared" si="119"/>
        <v>0</v>
      </c>
      <c r="U183" s="52">
        <f>S183/M183*100</f>
        <v>0</v>
      </c>
      <c r="V183" s="52">
        <f t="shared" si="117"/>
        <v>0</v>
      </c>
      <c r="W183" s="51"/>
      <c r="X183" s="52"/>
      <c r="Y183" s="51"/>
      <c r="Z183" s="52"/>
      <c r="AA183" s="51"/>
      <c r="AB183" s="52"/>
      <c r="AC183" s="31">
        <f t="shared" si="110"/>
        <v>0</v>
      </c>
      <c r="AD183" s="31">
        <f t="shared" si="111"/>
        <v>0</v>
      </c>
      <c r="AE183" s="31">
        <f t="shared" si="108"/>
        <v>4228000</v>
      </c>
      <c r="AF183" s="31">
        <f t="shared" si="109"/>
        <v>0</v>
      </c>
      <c r="AI183" s="51"/>
      <c r="AJ183" s="51"/>
      <c r="AK183" s="51"/>
      <c r="AL183" s="51">
        <f t="shared" si="105"/>
        <v>0</v>
      </c>
      <c r="AM183" s="51">
        <f t="shared" si="106"/>
        <v>0</v>
      </c>
    </row>
    <row r="184" spans="1:39" s="50" customFormat="1" ht="11.25">
      <c r="A184" s="48" t="s">
        <v>321</v>
      </c>
      <c r="B184" s="49"/>
      <c r="C184" s="50" t="s">
        <v>322</v>
      </c>
      <c r="D184" s="51"/>
      <c r="E184" s="51"/>
      <c r="F184" s="51"/>
      <c r="G184" s="51"/>
      <c r="H184" s="51">
        <v>3500000</v>
      </c>
      <c r="I184" s="51">
        <v>2600000</v>
      </c>
      <c r="J184" s="51">
        <v>2278972.8</v>
      </c>
      <c r="K184" s="51">
        <v>2000000</v>
      </c>
      <c r="L184" s="52">
        <f t="shared" si="112"/>
        <v>87.75883591063483</v>
      </c>
      <c r="M184" s="51">
        <v>2000000</v>
      </c>
      <c r="N184" s="53">
        <f t="shared" si="118"/>
        <v>0.0001476637312291071</v>
      </c>
      <c r="O184" s="51">
        <f>1000000-400000</f>
        <v>600000</v>
      </c>
      <c r="P184" s="51"/>
      <c r="Q184" s="52">
        <f t="shared" si="114"/>
        <v>26.32765077319045</v>
      </c>
      <c r="R184" s="52">
        <f>O184/M184*100</f>
        <v>30</v>
      </c>
      <c r="S184" s="51"/>
      <c r="T184" s="53">
        <f t="shared" si="119"/>
        <v>0</v>
      </c>
      <c r="U184" s="52">
        <f>S184/M184*100</f>
        <v>0</v>
      </c>
      <c r="V184" s="52">
        <f t="shared" si="117"/>
        <v>0</v>
      </c>
      <c r="W184" s="51"/>
      <c r="X184" s="52"/>
      <c r="Y184" s="51"/>
      <c r="Z184" s="52"/>
      <c r="AA184" s="51"/>
      <c r="AB184" s="52"/>
      <c r="AC184" s="31">
        <f t="shared" si="110"/>
        <v>0</v>
      </c>
      <c r="AD184" s="31">
        <f t="shared" si="111"/>
        <v>0</v>
      </c>
      <c r="AE184" s="31">
        <f t="shared" si="108"/>
        <v>2114000</v>
      </c>
      <c r="AF184" s="31">
        <f t="shared" si="109"/>
        <v>0</v>
      </c>
      <c r="AI184" s="51"/>
      <c r="AJ184" s="51"/>
      <c r="AK184" s="51"/>
      <c r="AL184" s="51">
        <f t="shared" si="105"/>
        <v>0</v>
      </c>
      <c r="AM184" s="51">
        <f t="shared" si="106"/>
        <v>0</v>
      </c>
    </row>
    <row r="185" spans="1:39" s="50" customFormat="1" ht="11.25">
      <c r="A185" s="48" t="s">
        <v>323</v>
      </c>
      <c r="B185" s="49"/>
      <c r="C185" s="50" t="s">
        <v>324</v>
      </c>
      <c r="D185" s="51">
        <v>1454443000</v>
      </c>
      <c r="E185" s="51"/>
      <c r="F185" s="51">
        <v>1174678000</v>
      </c>
      <c r="G185" s="51"/>
      <c r="H185" s="51">
        <v>3200000</v>
      </c>
      <c r="I185" s="51">
        <v>3200000</v>
      </c>
      <c r="J185" s="51">
        <v>2735700</v>
      </c>
      <c r="K185" s="51">
        <v>1000000</v>
      </c>
      <c r="L185" s="52">
        <f t="shared" si="112"/>
        <v>36.5537156851994</v>
      </c>
      <c r="M185" s="51">
        <v>1000000</v>
      </c>
      <c r="N185" s="53">
        <f t="shared" si="118"/>
        <v>7.383186561455355E-05</v>
      </c>
      <c r="O185" s="51">
        <v>1000000</v>
      </c>
      <c r="P185" s="51"/>
      <c r="Q185" s="52">
        <f t="shared" si="114"/>
        <v>36.5537156851994</v>
      </c>
      <c r="R185" s="52">
        <f>O185/M185*100</f>
        <v>100</v>
      </c>
      <c r="S185" s="51"/>
      <c r="T185" s="53">
        <f t="shared" si="119"/>
        <v>0</v>
      </c>
      <c r="U185" s="52">
        <f>S185/M185*100</f>
        <v>0</v>
      </c>
      <c r="V185" s="52">
        <f t="shared" si="117"/>
        <v>0</v>
      </c>
      <c r="W185" s="51"/>
      <c r="X185" s="52"/>
      <c r="Y185" s="51"/>
      <c r="Z185" s="52"/>
      <c r="AA185" s="51"/>
      <c r="AB185" s="52"/>
      <c r="AC185" s="31">
        <f t="shared" si="110"/>
        <v>0</v>
      </c>
      <c r="AD185" s="31">
        <f t="shared" si="111"/>
        <v>0</v>
      </c>
      <c r="AE185" s="31">
        <f t="shared" si="108"/>
        <v>1057000</v>
      </c>
      <c r="AF185" s="31">
        <f t="shared" si="109"/>
        <v>0</v>
      </c>
      <c r="AI185" s="51"/>
      <c r="AJ185" s="51"/>
      <c r="AK185" s="51"/>
      <c r="AL185" s="51">
        <f t="shared" si="105"/>
        <v>0</v>
      </c>
      <c r="AM185" s="51">
        <f t="shared" si="106"/>
        <v>0</v>
      </c>
    </row>
    <row r="186" spans="1:39" ht="9" customHeight="1">
      <c r="A186" s="2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>
        <f t="shared" si="118"/>
        <v>0</v>
      </c>
      <c r="O186" s="25"/>
      <c r="P186" s="25"/>
      <c r="Q186" s="25"/>
      <c r="R186" s="25"/>
      <c r="S186" s="25"/>
      <c r="T186" s="26">
        <f t="shared" si="119"/>
        <v>0</v>
      </c>
      <c r="U186" s="25"/>
      <c r="V186" s="25"/>
      <c r="W186" s="25"/>
      <c r="X186" s="25"/>
      <c r="Y186" s="25"/>
      <c r="Z186" s="25"/>
      <c r="AA186" s="25"/>
      <c r="AB186" s="25"/>
      <c r="AC186" s="31">
        <f t="shared" si="110"/>
        <v>0</v>
      </c>
      <c r="AD186" s="31">
        <f t="shared" si="111"/>
        <v>0</v>
      </c>
      <c r="AE186" s="31">
        <f t="shared" si="108"/>
        <v>0</v>
      </c>
      <c r="AF186" s="31">
        <f t="shared" si="109"/>
        <v>0</v>
      </c>
      <c r="AI186" s="25"/>
      <c r="AJ186" s="25"/>
      <c r="AK186" s="25"/>
      <c r="AL186" s="25"/>
      <c r="AM186" s="25"/>
    </row>
    <row r="187" spans="1:39" s="35" customFormat="1" ht="12.75">
      <c r="A187" s="34">
        <v>714</v>
      </c>
      <c r="C187" s="35" t="s">
        <v>325</v>
      </c>
      <c r="D187" s="36">
        <f aca="true" t="shared" si="120" ref="D187:K187">D188</f>
        <v>70000000</v>
      </c>
      <c r="E187" s="36">
        <f t="shared" si="120"/>
        <v>873297179</v>
      </c>
      <c r="F187" s="36">
        <f t="shared" si="120"/>
        <v>190000000</v>
      </c>
      <c r="G187" s="36">
        <f t="shared" si="120"/>
        <v>842568376</v>
      </c>
      <c r="H187" s="36">
        <f t="shared" si="120"/>
        <v>1193827300</v>
      </c>
      <c r="I187" s="36">
        <f t="shared" si="120"/>
        <v>901400000</v>
      </c>
      <c r="J187" s="36">
        <f t="shared" si="120"/>
        <v>757042095.49</v>
      </c>
      <c r="K187" s="36">
        <f t="shared" si="120"/>
        <v>932103000</v>
      </c>
      <c r="L187" s="37">
        <f>K187/J187*100</f>
        <v>123.12432895778282</v>
      </c>
      <c r="M187" s="36">
        <f>M188</f>
        <v>1095300000</v>
      </c>
      <c r="N187" s="38">
        <f t="shared" si="118"/>
        <v>0.08086804240762051</v>
      </c>
      <c r="O187" s="36">
        <f>O188</f>
        <v>1016500000</v>
      </c>
      <c r="P187" s="36"/>
      <c r="Q187" s="37">
        <f>O187/J187*100</f>
        <v>134.2725861686812</v>
      </c>
      <c r="R187" s="37">
        <f>O187/M187*100</f>
        <v>92.80562402994613</v>
      </c>
      <c r="S187" s="36">
        <f>S188</f>
        <v>883077550</v>
      </c>
      <c r="T187" s="38">
        <f t="shared" si="119"/>
        <v>0.0607721663036445</v>
      </c>
      <c r="U187" s="37">
        <f>S187/M187*100</f>
        <v>80.62426275906145</v>
      </c>
      <c r="V187" s="37">
        <f>S187/O187*100</f>
        <v>86.87432857845549</v>
      </c>
      <c r="W187" s="36">
        <f>W188</f>
        <v>907623000</v>
      </c>
      <c r="X187" s="37">
        <f>W187/S187*100</f>
        <v>102.77953504762974</v>
      </c>
      <c r="Y187" s="36">
        <f>Y188</f>
        <v>921300000</v>
      </c>
      <c r="Z187" s="37">
        <f>Y187/W187*100</f>
        <v>101.50690319659155</v>
      </c>
      <c r="AA187" s="36">
        <f>AA188</f>
        <v>936400000</v>
      </c>
      <c r="AB187" s="37">
        <f>AA187/Y187*100</f>
        <v>101.63898838597633</v>
      </c>
      <c r="AC187" s="31">
        <f t="shared" si="110"/>
        <v>939389804.9999999</v>
      </c>
      <c r="AD187" s="31">
        <f t="shared" si="111"/>
        <v>948017699.9999999</v>
      </c>
      <c r="AE187" s="31">
        <f t="shared" si="108"/>
        <v>1157732100</v>
      </c>
      <c r="AF187" s="31">
        <f t="shared" si="109"/>
        <v>922816039.7499999</v>
      </c>
      <c r="AI187" s="36">
        <f>AI188</f>
        <v>886600000</v>
      </c>
      <c r="AJ187" s="36">
        <f>AJ188</f>
        <v>886600000</v>
      </c>
      <c r="AK187" s="36">
        <f>AK188</f>
        <v>883077550</v>
      </c>
      <c r="AL187" s="36">
        <f aca="true" t="shared" si="121" ref="AL187:AL205">AJ187-AI187</f>
        <v>0</v>
      </c>
      <c r="AM187" s="36">
        <f aca="true" t="shared" si="122" ref="AM187:AM205">AK187-AJ187</f>
        <v>-3522450</v>
      </c>
    </row>
    <row r="188" spans="1:39" s="35" customFormat="1" ht="12.75">
      <c r="A188" s="34">
        <v>7141</v>
      </c>
      <c r="C188" s="35" t="s">
        <v>326</v>
      </c>
      <c r="D188" s="36">
        <f>SUM(D194:D205)</f>
        <v>70000000</v>
      </c>
      <c r="E188" s="36">
        <f>SUM(E194:E202)+E189</f>
        <v>873297179</v>
      </c>
      <c r="F188" s="36">
        <f>SUM(F194:F205)</f>
        <v>190000000</v>
      </c>
      <c r="G188" s="36">
        <f>SUM(G194:G202)+G189</f>
        <v>842568376</v>
      </c>
      <c r="H188" s="36">
        <f>SUM(H194:H202)+H189</f>
        <v>1193827300</v>
      </c>
      <c r="I188" s="36">
        <f>SUM(I194:I202)+I189</f>
        <v>901400000</v>
      </c>
      <c r="J188" s="36">
        <f>SUM(J194:J202)+J189</f>
        <v>757042095.49</v>
      </c>
      <c r="K188" s="36">
        <f>SUM(K194:K202)+K189-K197-K198</f>
        <v>932103000</v>
      </c>
      <c r="L188" s="37">
        <f>K188/J188*100</f>
        <v>123.12432895778282</v>
      </c>
      <c r="M188" s="36">
        <f>SUM(M194:M202)+M189-M197-M198</f>
        <v>1095300000</v>
      </c>
      <c r="N188" s="38">
        <f t="shared" si="118"/>
        <v>0.08086804240762051</v>
      </c>
      <c r="O188" s="36">
        <f>SUM(O194:O202)+O189-O197-O198</f>
        <v>1016500000</v>
      </c>
      <c r="P188" s="36"/>
      <c r="Q188" s="37">
        <f>O188/J188*100</f>
        <v>134.2725861686812</v>
      </c>
      <c r="R188" s="37">
        <f>O188/M188*100</f>
        <v>92.80562402994613</v>
      </c>
      <c r="S188" s="36">
        <f>SUM(S194:S202)+S189-S197-S198</f>
        <v>883077550</v>
      </c>
      <c r="T188" s="38">
        <f t="shared" si="119"/>
        <v>0.0607721663036445</v>
      </c>
      <c r="U188" s="37">
        <f>S188/M188*100</f>
        <v>80.62426275906145</v>
      </c>
      <c r="V188" s="37">
        <f>S188/O188*100</f>
        <v>86.87432857845549</v>
      </c>
      <c r="W188" s="36">
        <f>SUM(W194:W202)+W189-W197-W198</f>
        <v>907623000</v>
      </c>
      <c r="X188" s="37">
        <f>W188/S188*100</f>
        <v>102.77953504762974</v>
      </c>
      <c r="Y188" s="36">
        <f>SUM(Y194:Y202)+Y189-Y197-Y198</f>
        <v>921300000</v>
      </c>
      <c r="Z188" s="37">
        <f>Y188/W188*100</f>
        <v>101.50690319659155</v>
      </c>
      <c r="AA188" s="36">
        <f>SUM(AA194:AA202)+AA189-AA197-AA198</f>
        <v>936400000</v>
      </c>
      <c r="AB188" s="37">
        <f>AA188/Y188*100</f>
        <v>101.63898838597633</v>
      </c>
      <c r="AC188" s="31">
        <f t="shared" si="110"/>
        <v>939389804.9999999</v>
      </c>
      <c r="AD188" s="31">
        <f t="shared" si="111"/>
        <v>948017699.9999999</v>
      </c>
      <c r="AE188" s="31">
        <f t="shared" si="108"/>
        <v>1157732100</v>
      </c>
      <c r="AF188" s="31">
        <f t="shared" si="109"/>
        <v>922816039.7499999</v>
      </c>
      <c r="AI188" s="36">
        <f>SUM(AI194:AI202)+AI189-AI197-AI198</f>
        <v>886600000</v>
      </c>
      <c r="AJ188" s="36">
        <f>SUM(AJ194:AJ202)+AJ189-AJ197-AJ198</f>
        <v>886600000</v>
      </c>
      <c r="AK188" s="36">
        <f>SUM(AK194:AK202)+AK189-AK197-AK198</f>
        <v>883077550</v>
      </c>
      <c r="AL188" s="36">
        <f t="shared" si="121"/>
        <v>0</v>
      </c>
      <c r="AM188" s="36">
        <f t="shared" si="122"/>
        <v>-3522450</v>
      </c>
    </row>
    <row r="189" spans="1:39" s="40" customFormat="1" ht="12.75" customHeight="1">
      <c r="A189" s="39" t="s">
        <v>327</v>
      </c>
      <c r="C189" s="40" t="s">
        <v>326</v>
      </c>
      <c r="D189" s="31"/>
      <c r="E189" s="31">
        <f>SUM(E190:E193)</f>
        <v>662063096</v>
      </c>
      <c r="F189" s="31"/>
      <c r="G189" s="31">
        <f>SUM(G190:G193)</f>
        <v>559521461</v>
      </c>
      <c r="H189" s="31">
        <f>SUM(H190:H193)</f>
        <v>845000000</v>
      </c>
      <c r="I189" s="31">
        <f>SUM(I190:I193)</f>
        <v>605000000</v>
      </c>
      <c r="J189" s="31">
        <f>SUM(J190:J193)</f>
        <v>436227040.88</v>
      </c>
      <c r="K189" s="31">
        <f>SUM(K190:K193)</f>
        <v>615650000</v>
      </c>
      <c r="L189" s="41">
        <f>K189/J189*100</f>
        <v>141.1306366423435</v>
      </c>
      <c r="M189" s="31">
        <f>SUM(M190:M193)</f>
        <v>740650000</v>
      </c>
      <c r="N189" s="42">
        <f t="shared" si="118"/>
        <v>0.05468357126741909</v>
      </c>
      <c r="O189" s="31">
        <f>SUM(O190:O193)</f>
        <v>710000000</v>
      </c>
      <c r="P189" s="31"/>
      <c r="Q189" s="41">
        <f>O189/J189*100</f>
        <v>162.75928208570434</v>
      </c>
      <c r="R189" s="41">
        <f>O189/M189*100</f>
        <v>95.86174306352528</v>
      </c>
      <c r="S189" s="31">
        <f>SUM(S190:S193)</f>
        <v>540000000</v>
      </c>
      <c r="T189" s="42">
        <f t="shared" si="119"/>
        <v>0.037162047437360436</v>
      </c>
      <c r="U189" s="41">
        <f>S189/M189*100</f>
        <v>72.90893134408965</v>
      </c>
      <c r="V189" s="41">
        <f>S189/O189*100</f>
        <v>76.05633802816901</v>
      </c>
      <c r="W189" s="31">
        <f>SUM(W190:W193)</f>
        <v>540000000</v>
      </c>
      <c r="X189" s="41">
        <f>W189/S189*100</f>
        <v>100</v>
      </c>
      <c r="Y189" s="31">
        <f>SUM(Y190:Y193)</f>
        <v>540000000</v>
      </c>
      <c r="Z189" s="41">
        <f>Y189/W189*100</f>
        <v>100</v>
      </c>
      <c r="AA189" s="31">
        <f>SUM(AA190:AA193)</f>
        <v>540000000</v>
      </c>
      <c r="AB189" s="41">
        <f>AA189/Y189*100</f>
        <v>100</v>
      </c>
      <c r="AC189" s="31">
        <f t="shared" si="110"/>
        <v>558900000</v>
      </c>
      <c r="AD189" s="31">
        <f t="shared" si="111"/>
        <v>555660000</v>
      </c>
      <c r="AE189" s="31">
        <f t="shared" si="108"/>
        <v>782867050</v>
      </c>
      <c r="AF189" s="31">
        <f t="shared" si="109"/>
        <v>564300000</v>
      </c>
      <c r="AI189" s="31">
        <f>SUM(AI190:AI193)</f>
        <v>540000000</v>
      </c>
      <c r="AJ189" s="31">
        <f>SUM(AJ190:AJ193)</f>
        <v>540000000</v>
      </c>
      <c r="AK189" s="31">
        <f>SUM(AK190:AK193)</f>
        <v>540000000</v>
      </c>
      <c r="AL189" s="31">
        <f t="shared" si="121"/>
        <v>0</v>
      </c>
      <c r="AM189" s="31">
        <f t="shared" si="122"/>
        <v>0</v>
      </c>
    </row>
    <row r="190" spans="1:39" s="50" customFormat="1" ht="12.75" customHeight="1" hidden="1">
      <c r="A190" s="48"/>
      <c r="B190" s="49" t="s">
        <v>287</v>
      </c>
      <c r="C190" s="50" t="s">
        <v>328</v>
      </c>
      <c r="D190" s="51"/>
      <c r="E190" s="51"/>
      <c r="F190" s="51"/>
      <c r="G190" s="51"/>
      <c r="H190" s="51">
        <v>170000000</v>
      </c>
      <c r="I190" s="51"/>
      <c r="J190" s="51"/>
      <c r="K190" s="51"/>
      <c r="L190" s="41"/>
      <c r="M190" s="51"/>
      <c r="N190" s="53">
        <f t="shared" si="118"/>
        <v>0</v>
      </c>
      <c r="O190" s="51"/>
      <c r="P190" s="51"/>
      <c r="Q190" s="41" t="e">
        <f>O190/J190*100</f>
        <v>#DIV/0!</v>
      </c>
      <c r="R190" s="41"/>
      <c r="S190" s="51"/>
      <c r="T190" s="53">
        <f t="shared" si="119"/>
        <v>0</v>
      </c>
      <c r="U190" s="41" t="e">
        <f>S190/M190*100</f>
        <v>#DIV/0!</v>
      </c>
      <c r="V190" s="41" t="e">
        <f>S190/O190*100</f>
        <v>#DIV/0!</v>
      </c>
      <c r="W190" s="51"/>
      <c r="X190" s="41"/>
      <c r="Y190" s="51"/>
      <c r="Z190" s="41" t="e">
        <f>Y190/W190*100</f>
        <v>#DIV/0!</v>
      </c>
      <c r="AA190" s="51"/>
      <c r="AB190" s="41" t="e">
        <f>AA190/Y190*100</f>
        <v>#DIV/0!</v>
      </c>
      <c r="AC190" s="31">
        <f t="shared" si="110"/>
        <v>0</v>
      </c>
      <c r="AD190" s="31">
        <f t="shared" si="111"/>
        <v>0</v>
      </c>
      <c r="AE190" s="31">
        <f t="shared" si="108"/>
        <v>0</v>
      </c>
      <c r="AF190" s="31">
        <f t="shared" si="109"/>
        <v>0</v>
      </c>
      <c r="AI190" s="51"/>
      <c r="AJ190" s="51"/>
      <c r="AK190" s="51"/>
      <c r="AL190" s="51">
        <f t="shared" si="121"/>
        <v>0</v>
      </c>
      <c r="AM190" s="51">
        <f t="shared" si="122"/>
        <v>0</v>
      </c>
    </row>
    <row r="191" spans="1:39" s="50" customFormat="1" ht="12.75" customHeight="1">
      <c r="A191" s="48" t="s">
        <v>329</v>
      </c>
      <c r="B191" s="49"/>
      <c r="C191" s="50" t="s">
        <v>330</v>
      </c>
      <c r="D191" s="51"/>
      <c r="E191" s="51">
        <v>3908646</v>
      </c>
      <c r="F191" s="51"/>
      <c r="G191" s="51">
        <v>3285423</v>
      </c>
      <c r="H191" s="51">
        <v>15000000</v>
      </c>
      <c r="I191" s="51">
        <v>15000000</v>
      </c>
      <c r="J191" s="51"/>
      <c r="K191" s="51">
        <v>15000000</v>
      </c>
      <c r="L191" s="52"/>
      <c r="M191" s="51"/>
      <c r="N191" s="53">
        <f t="shared" si="118"/>
        <v>0</v>
      </c>
      <c r="O191" s="51"/>
      <c r="P191" s="51"/>
      <c r="Q191" s="52"/>
      <c r="R191" s="52"/>
      <c r="S191" s="51">
        <v>0</v>
      </c>
      <c r="T191" s="53">
        <f t="shared" si="119"/>
        <v>0</v>
      </c>
      <c r="U191" s="52"/>
      <c r="V191" s="52"/>
      <c r="W191" s="51">
        <v>0</v>
      </c>
      <c r="X191" s="52"/>
      <c r="Y191" s="51">
        <v>0</v>
      </c>
      <c r="Z191" s="52"/>
      <c r="AA191" s="51">
        <v>0</v>
      </c>
      <c r="AB191" s="52"/>
      <c r="AC191" s="31">
        <f t="shared" si="110"/>
        <v>0</v>
      </c>
      <c r="AD191" s="31">
        <f t="shared" si="111"/>
        <v>0</v>
      </c>
      <c r="AE191" s="31">
        <f t="shared" si="108"/>
        <v>0</v>
      </c>
      <c r="AF191" s="31">
        <f t="shared" si="109"/>
        <v>0</v>
      </c>
      <c r="AI191" s="51">
        <v>0</v>
      </c>
      <c r="AJ191" s="51">
        <v>0</v>
      </c>
      <c r="AK191" s="51">
        <v>0</v>
      </c>
      <c r="AL191" s="51">
        <f t="shared" si="121"/>
        <v>0</v>
      </c>
      <c r="AM191" s="51">
        <f t="shared" si="122"/>
        <v>0</v>
      </c>
    </row>
    <row r="192" spans="1:39" s="50" customFormat="1" ht="11.25">
      <c r="A192" s="48" t="s">
        <v>331</v>
      </c>
      <c r="B192" s="49"/>
      <c r="C192" s="50" t="s">
        <v>332</v>
      </c>
      <c r="D192" s="51"/>
      <c r="E192" s="51">
        <v>414438593</v>
      </c>
      <c r="F192" s="51"/>
      <c r="G192" s="51">
        <f>77387528+262929646</f>
        <v>340317174</v>
      </c>
      <c r="H192" s="51">
        <v>420000000</v>
      </c>
      <c r="I192" s="51">
        <v>350000000</v>
      </c>
      <c r="J192" s="51">
        <f>245227390.96-27739270.27</f>
        <v>217488120.69</v>
      </c>
      <c r="K192" s="51">
        <v>360000000</v>
      </c>
      <c r="L192" s="52">
        <f>K192/J192*100</f>
        <v>165.52628201387213</v>
      </c>
      <c r="M192" s="51">
        <f>360000000-30000000+170000000</f>
        <v>500000000</v>
      </c>
      <c r="N192" s="53">
        <f t="shared" si="118"/>
        <v>0.03691593280727678</v>
      </c>
      <c r="O192" s="51">
        <f>360000000-30000000+170000000</f>
        <v>500000000</v>
      </c>
      <c r="P192" s="51"/>
      <c r="Q192" s="52">
        <f>O192/J192*100</f>
        <v>229.89761390815576</v>
      </c>
      <c r="R192" s="52">
        <f aca="true" t="shared" si="123" ref="R192:R205">O192/M192*100</f>
        <v>100</v>
      </c>
      <c r="S192" s="51">
        <v>330000000</v>
      </c>
      <c r="T192" s="53">
        <f t="shared" si="119"/>
        <v>0.022710140100609157</v>
      </c>
      <c r="U192" s="52">
        <f aca="true" t="shared" si="124" ref="U192:U205">S192/M192*100</f>
        <v>66</v>
      </c>
      <c r="V192" s="52">
        <f aca="true" t="shared" si="125" ref="V192:V205">S192/O192*100</f>
        <v>66</v>
      </c>
      <c r="W192" s="51">
        <v>330000000</v>
      </c>
      <c r="X192" s="52">
        <f aca="true" t="shared" si="126" ref="X192:X205">W192/S192*100</f>
        <v>100</v>
      </c>
      <c r="Y192" s="51">
        <v>330000000</v>
      </c>
      <c r="Z192" s="52">
        <f aca="true" t="shared" si="127" ref="Z192:Z205">Y192/W192*100</f>
        <v>100</v>
      </c>
      <c r="AA192" s="51">
        <v>330000000</v>
      </c>
      <c r="AB192" s="52">
        <f aca="true" t="shared" si="128" ref="AB192:AB205">AA192/Y192*100</f>
        <v>100</v>
      </c>
      <c r="AC192" s="31">
        <f t="shared" si="110"/>
        <v>341550000</v>
      </c>
      <c r="AD192" s="31">
        <f t="shared" si="111"/>
        <v>339570000</v>
      </c>
      <c r="AE192" s="31">
        <f t="shared" si="108"/>
        <v>528499999.99999994</v>
      </c>
      <c r="AF192" s="31">
        <f t="shared" si="109"/>
        <v>344850000</v>
      </c>
      <c r="AI192" s="51">
        <v>330000000</v>
      </c>
      <c r="AJ192" s="51">
        <v>330000000</v>
      </c>
      <c r="AK192" s="51">
        <v>330000000</v>
      </c>
      <c r="AL192" s="51">
        <f t="shared" si="121"/>
        <v>0</v>
      </c>
      <c r="AM192" s="51">
        <f t="shared" si="122"/>
        <v>0</v>
      </c>
    </row>
    <row r="193" spans="1:39" s="50" customFormat="1" ht="11.25">
      <c r="A193" s="48" t="s">
        <v>333</v>
      </c>
      <c r="B193" s="49"/>
      <c r="C193" s="50" t="s">
        <v>334</v>
      </c>
      <c r="D193" s="51"/>
      <c r="E193" s="51">
        <v>243715857</v>
      </c>
      <c r="F193" s="51"/>
      <c r="G193" s="51">
        <f>44386892+171531972</f>
        <v>215918864</v>
      </c>
      <c r="H193" s="51">
        <v>240000000</v>
      </c>
      <c r="I193" s="51">
        <v>240000000</v>
      </c>
      <c r="J193" s="51">
        <v>218738920.19</v>
      </c>
      <c r="K193" s="51">
        <f>240000000+650000</f>
        <v>240650000</v>
      </c>
      <c r="L193" s="52">
        <f>K193/J193*100</f>
        <v>110.01700099413844</v>
      </c>
      <c r="M193" s="51">
        <f>240000000+650000</f>
        <v>240650000</v>
      </c>
      <c r="N193" s="53">
        <f t="shared" si="118"/>
        <v>0.017767638460142312</v>
      </c>
      <c r="O193" s="51">
        <v>210000000</v>
      </c>
      <c r="P193" s="51"/>
      <c r="Q193" s="52">
        <f>O193/J193*100</f>
        <v>96.00486270005848</v>
      </c>
      <c r="R193" s="52">
        <f t="shared" si="123"/>
        <v>87.26366091834615</v>
      </c>
      <c r="S193" s="51">
        <v>210000000</v>
      </c>
      <c r="T193" s="53">
        <f t="shared" si="119"/>
        <v>0.014451907336751281</v>
      </c>
      <c r="U193" s="52">
        <f t="shared" si="124"/>
        <v>87.26366091834615</v>
      </c>
      <c r="V193" s="52">
        <f t="shared" si="125"/>
        <v>100</v>
      </c>
      <c r="W193" s="51">
        <v>210000000</v>
      </c>
      <c r="X193" s="52">
        <f t="shared" si="126"/>
        <v>100</v>
      </c>
      <c r="Y193" s="51">
        <v>210000000</v>
      </c>
      <c r="Z193" s="52">
        <f t="shared" si="127"/>
        <v>100</v>
      </c>
      <c r="AA193" s="51">
        <v>210000000</v>
      </c>
      <c r="AB193" s="52">
        <f t="shared" si="128"/>
        <v>100</v>
      </c>
      <c r="AC193" s="31">
        <f t="shared" si="110"/>
        <v>217349999.99999997</v>
      </c>
      <c r="AD193" s="31">
        <f t="shared" si="111"/>
        <v>216089999.99999997</v>
      </c>
      <c r="AE193" s="31">
        <f t="shared" si="108"/>
        <v>254367050</v>
      </c>
      <c r="AF193" s="31">
        <f t="shared" si="109"/>
        <v>219449999.99999997</v>
      </c>
      <c r="AI193" s="51">
        <v>210000000</v>
      </c>
      <c r="AJ193" s="51">
        <v>210000000</v>
      </c>
      <c r="AK193" s="51">
        <v>210000000</v>
      </c>
      <c r="AL193" s="51">
        <f t="shared" si="121"/>
        <v>0</v>
      </c>
      <c r="AM193" s="51">
        <f t="shared" si="122"/>
        <v>0</v>
      </c>
    </row>
    <row r="194" spans="1:39" s="40" customFormat="1" ht="12.75" customHeight="1">
      <c r="A194" s="39" t="s">
        <v>335</v>
      </c>
      <c r="C194" s="40" t="s">
        <v>336</v>
      </c>
      <c r="D194" s="31">
        <v>70000000</v>
      </c>
      <c r="E194" s="31">
        <v>58040771</v>
      </c>
      <c r="F194" s="31">
        <v>190000000</v>
      </c>
      <c r="G194" s="31">
        <v>179312272</v>
      </c>
      <c r="H194" s="31">
        <f>190000000+20000000</f>
        <v>210000000</v>
      </c>
      <c r="I194" s="31">
        <v>140000000</v>
      </c>
      <c r="J194" s="31">
        <v>170600525.9</v>
      </c>
      <c r="K194" s="31">
        <f>160000000-10000000</f>
        <v>150000000</v>
      </c>
      <c r="L194" s="41">
        <f>K194/J194*100</f>
        <v>87.92469965064744</v>
      </c>
      <c r="M194" s="31">
        <f>160000000-10000000+11350000</f>
        <v>161350000</v>
      </c>
      <c r="N194" s="42">
        <f t="shared" si="118"/>
        <v>0.011912771516908217</v>
      </c>
      <c r="O194" s="31">
        <f>160000000-10000000+11350000-11350000</f>
        <v>150000000</v>
      </c>
      <c r="P194" s="31"/>
      <c r="Q194" s="41">
        <f>O194/J194*100</f>
        <v>87.92469965064744</v>
      </c>
      <c r="R194" s="41">
        <f t="shared" si="123"/>
        <v>92.96560272699101</v>
      </c>
      <c r="S194" s="31">
        <v>160000000</v>
      </c>
      <c r="T194" s="42">
        <f t="shared" si="119"/>
        <v>0.011010977018477166</v>
      </c>
      <c r="U194" s="41">
        <f t="shared" si="124"/>
        <v>99.16330957545708</v>
      </c>
      <c r="V194" s="41">
        <f t="shared" si="125"/>
        <v>106.66666666666667</v>
      </c>
      <c r="W194" s="31">
        <v>180000000</v>
      </c>
      <c r="X194" s="41">
        <f t="shared" si="126"/>
        <v>112.5</v>
      </c>
      <c r="Y194" s="31">
        <v>190000000</v>
      </c>
      <c r="Z194" s="41">
        <f t="shared" si="127"/>
        <v>105.55555555555556</v>
      </c>
      <c r="AA194" s="31">
        <v>200000000</v>
      </c>
      <c r="AB194" s="41">
        <f t="shared" si="128"/>
        <v>105.26315789473684</v>
      </c>
      <c r="AC194" s="31">
        <f t="shared" si="110"/>
        <v>186300000</v>
      </c>
      <c r="AD194" s="31">
        <f t="shared" si="111"/>
        <v>195509999.99999997</v>
      </c>
      <c r="AE194" s="31">
        <f t="shared" si="108"/>
        <v>170546950</v>
      </c>
      <c r="AF194" s="31">
        <f t="shared" si="109"/>
        <v>167200000</v>
      </c>
      <c r="AI194" s="31">
        <v>160000000</v>
      </c>
      <c r="AJ194" s="31">
        <v>160000000</v>
      </c>
      <c r="AK194" s="31">
        <v>160000000</v>
      </c>
      <c r="AL194" s="31">
        <f t="shared" si="121"/>
        <v>0</v>
      </c>
      <c r="AM194" s="31">
        <f t="shared" si="122"/>
        <v>0</v>
      </c>
    </row>
    <row r="195" spans="1:39" s="40" customFormat="1" ht="12.75" customHeight="1">
      <c r="A195" s="39" t="s">
        <v>337</v>
      </c>
      <c r="C195" s="40" t="s">
        <v>338</v>
      </c>
      <c r="D195" s="31"/>
      <c r="E195" s="31">
        <v>2933416</v>
      </c>
      <c r="F195" s="31"/>
      <c r="G195" s="31">
        <v>2679699</v>
      </c>
      <c r="H195" s="31">
        <v>2806000</v>
      </c>
      <c r="I195" s="31">
        <v>3300000</v>
      </c>
      <c r="J195" s="31">
        <v>4472712.7</v>
      </c>
      <c r="K195" s="31">
        <f>3300000+200000</f>
        <v>3500000</v>
      </c>
      <c r="L195" s="41">
        <f>K195/J195*100</f>
        <v>78.25228747645696</v>
      </c>
      <c r="M195" s="31">
        <f>3300000+200000</f>
        <v>3500000</v>
      </c>
      <c r="N195" s="42">
        <f t="shared" si="118"/>
        <v>0.0002584115296509374</v>
      </c>
      <c r="O195" s="31">
        <f>3300000+200000</f>
        <v>3500000</v>
      </c>
      <c r="P195" s="31"/>
      <c r="Q195" s="41">
        <f>O195/J195*100</f>
        <v>78.25228747645696</v>
      </c>
      <c r="R195" s="41">
        <f t="shared" si="123"/>
        <v>100</v>
      </c>
      <c r="S195" s="31">
        <v>4000000</v>
      </c>
      <c r="T195" s="42">
        <f t="shared" si="119"/>
        <v>0.00027527442546192914</v>
      </c>
      <c r="U195" s="41">
        <f t="shared" si="124"/>
        <v>114.28571428571428</v>
      </c>
      <c r="V195" s="41">
        <f t="shared" si="125"/>
        <v>114.28571428571428</v>
      </c>
      <c r="W195" s="31">
        <v>4200000</v>
      </c>
      <c r="X195" s="41">
        <f t="shared" si="126"/>
        <v>105</v>
      </c>
      <c r="Y195" s="31">
        <v>4300000</v>
      </c>
      <c r="Z195" s="41">
        <f t="shared" si="127"/>
        <v>102.38095238095238</v>
      </c>
      <c r="AA195" s="31">
        <v>4400000</v>
      </c>
      <c r="AB195" s="41">
        <f t="shared" si="128"/>
        <v>102.32558139534885</v>
      </c>
      <c r="AC195" s="31">
        <f t="shared" si="110"/>
        <v>4347000</v>
      </c>
      <c r="AD195" s="31">
        <f t="shared" si="111"/>
        <v>4424700</v>
      </c>
      <c r="AE195" s="31">
        <f t="shared" si="108"/>
        <v>3699500</v>
      </c>
      <c r="AF195" s="31">
        <f t="shared" si="109"/>
        <v>4179999.9999999995</v>
      </c>
      <c r="AI195" s="31">
        <v>4000000</v>
      </c>
      <c r="AJ195" s="31">
        <v>4000000</v>
      </c>
      <c r="AK195" s="31">
        <v>4000000</v>
      </c>
      <c r="AL195" s="31">
        <f t="shared" si="121"/>
        <v>0</v>
      </c>
      <c r="AM195" s="31">
        <f t="shared" si="122"/>
        <v>0</v>
      </c>
    </row>
    <row r="196" spans="1:39" s="40" customFormat="1" ht="12.75" customHeight="1">
      <c r="A196" s="39" t="s">
        <v>339</v>
      </c>
      <c r="C196" s="40" t="s">
        <v>340</v>
      </c>
      <c r="D196" s="31"/>
      <c r="E196" s="31"/>
      <c r="F196" s="31"/>
      <c r="G196" s="31">
        <v>4781082</v>
      </c>
      <c r="H196" s="31">
        <v>5500000</v>
      </c>
      <c r="I196" s="31"/>
      <c r="J196" s="31"/>
      <c r="K196" s="31">
        <f>SUM(K197:K198)</f>
        <v>9000000</v>
      </c>
      <c r="L196" s="41"/>
      <c r="M196" s="31">
        <f>SUM(M197:M198)</f>
        <v>9000000</v>
      </c>
      <c r="N196" s="42">
        <f t="shared" si="118"/>
        <v>0.000664486790530982</v>
      </c>
      <c r="O196" s="31">
        <f>SUM(O197:O198)</f>
        <v>1000000</v>
      </c>
      <c r="P196" s="31"/>
      <c r="Q196" s="41"/>
      <c r="R196" s="41">
        <f t="shared" si="123"/>
        <v>11.11111111111111</v>
      </c>
      <c r="S196" s="31">
        <f>SUM(S197:S198)</f>
        <v>5000000</v>
      </c>
      <c r="T196" s="42">
        <f t="shared" si="119"/>
        <v>0.00034409303182741143</v>
      </c>
      <c r="U196" s="41">
        <f t="shared" si="124"/>
        <v>55.55555555555556</v>
      </c>
      <c r="V196" s="41">
        <f t="shared" si="125"/>
        <v>500</v>
      </c>
      <c r="W196" s="31">
        <f>SUM(W197:W198)</f>
        <v>5000000</v>
      </c>
      <c r="X196" s="41">
        <f t="shared" si="126"/>
        <v>100</v>
      </c>
      <c r="Y196" s="31">
        <f>SUM(Y197:Y198)</f>
        <v>5000000</v>
      </c>
      <c r="Z196" s="41">
        <f t="shared" si="127"/>
        <v>100</v>
      </c>
      <c r="AA196" s="31">
        <f>SUM(AA197:AA198)</f>
        <v>5000000</v>
      </c>
      <c r="AB196" s="41">
        <f t="shared" si="128"/>
        <v>100</v>
      </c>
      <c r="AC196" s="31">
        <f t="shared" si="110"/>
        <v>5175000</v>
      </c>
      <c r="AD196" s="31">
        <f t="shared" si="111"/>
        <v>5145000</v>
      </c>
      <c r="AE196" s="31">
        <f aca="true" t="shared" si="129" ref="AE196:AE215">M196*1.057</f>
        <v>9513000</v>
      </c>
      <c r="AF196" s="31">
        <f aca="true" t="shared" si="130" ref="AF196:AF215">S196*1.045</f>
        <v>5225000</v>
      </c>
      <c r="AI196" s="31">
        <f>SUM(AI197:AI198)</f>
        <v>10000000</v>
      </c>
      <c r="AJ196" s="31">
        <f>SUM(AJ197:AJ198)</f>
        <v>10000000</v>
      </c>
      <c r="AK196" s="31">
        <f>SUM(AK197:AK198)</f>
        <v>5000000</v>
      </c>
      <c r="AL196" s="31">
        <f t="shared" si="121"/>
        <v>0</v>
      </c>
      <c r="AM196" s="31">
        <f t="shared" si="122"/>
        <v>-5000000</v>
      </c>
    </row>
    <row r="197" spans="1:39" s="50" customFormat="1" ht="11.25" customHeight="1" hidden="1">
      <c r="A197" s="55">
        <v>71410701</v>
      </c>
      <c r="C197" s="50" t="s">
        <v>341</v>
      </c>
      <c r="D197" s="51"/>
      <c r="E197" s="51"/>
      <c r="F197" s="51"/>
      <c r="G197" s="51"/>
      <c r="H197" s="51"/>
      <c r="I197" s="51"/>
      <c r="J197" s="51"/>
      <c r="K197" s="51"/>
      <c r="L197" s="52"/>
      <c r="M197" s="51"/>
      <c r="N197" s="53">
        <f t="shared" si="118"/>
        <v>0</v>
      </c>
      <c r="O197" s="51"/>
      <c r="P197" s="51"/>
      <c r="Q197" s="52"/>
      <c r="R197" s="41" t="e">
        <f t="shared" si="123"/>
        <v>#DIV/0!</v>
      </c>
      <c r="S197" s="51">
        <v>0</v>
      </c>
      <c r="T197" s="53">
        <f t="shared" si="119"/>
        <v>0</v>
      </c>
      <c r="U197" s="52" t="e">
        <f t="shared" si="124"/>
        <v>#DIV/0!</v>
      </c>
      <c r="V197" s="52" t="e">
        <f t="shared" si="125"/>
        <v>#DIV/0!</v>
      </c>
      <c r="W197" s="51">
        <v>0</v>
      </c>
      <c r="X197" s="41" t="e">
        <f t="shared" si="126"/>
        <v>#DIV/0!</v>
      </c>
      <c r="Y197" s="51">
        <v>0</v>
      </c>
      <c r="Z197" s="41" t="e">
        <f t="shared" si="127"/>
        <v>#DIV/0!</v>
      </c>
      <c r="AA197" s="51">
        <v>0</v>
      </c>
      <c r="AB197" s="41" t="e">
        <f t="shared" si="128"/>
        <v>#DIV/0!</v>
      </c>
      <c r="AC197" s="31">
        <f t="shared" si="110"/>
        <v>0</v>
      </c>
      <c r="AD197" s="31">
        <f t="shared" si="111"/>
        <v>0</v>
      </c>
      <c r="AE197" s="31">
        <f t="shared" si="129"/>
        <v>0</v>
      </c>
      <c r="AF197" s="31">
        <f t="shared" si="130"/>
        <v>0</v>
      </c>
      <c r="AI197" s="51">
        <v>0</v>
      </c>
      <c r="AJ197" s="51">
        <v>0</v>
      </c>
      <c r="AK197" s="51">
        <v>0</v>
      </c>
      <c r="AL197" s="51">
        <f t="shared" si="121"/>
        <v>0</v>
      </c>
      <c r="AM197" s="51">
        <f t="shared" si="122"/>
        <v>0</v>
      </c>
    </row>
    <row r="198" spans="1:39" s="50" customFormat="1" ht="11.25" customHeight="1">
      <c r="A198" s="55">
        <v>71410704</v>
      </c>
      <c r="C198" s="50" t="s">
        <v>342</v>
      </c>
      <c r="D198" s="51"/>
      <c r="E198" s="51">
        <v>9047785</v>
      </c>
      <c r="F198" s="51"/>
      <c r="G198" s="51"/>
      <c r="H198" s="51"/>
      <c r="I198" s="51"/>
      <c r="J198" s="51"/>
      <c r="K198" s="51">
        <v>9000000</v>
      </c>
      <c r="L198" s="52"/>
      <c r="M198" s="51">
        <v>9000000</v>
      </c>
      <c r="N198" s="53">
        <f t="shared" si="118"/>
        <v>0.000664486790530982</v>
      </c>
      <c r="O198" s="51">
        <f>9000000-8000000</f>
        <v>1000000</v>
      </c>
      <c r="P198" s="51"/>
      <c r="Q198" s="52"/>
      <c r="R198" s="52">
        <f t="shared" si="123"/>
        <v>11.11111111111111</v>
      </c>
      <c r="S198" s="51">
        <f>10000000-5000000</f>
        <v>5000000</v>
      </c>
      <c r="T198" s="53">
        <f t="shared" si="119"/>
        <v>0.00034409303182741143</v>
      </c>
      <c r="U198" s="52">
        <f t="shared" si="124"/>
        <v>55.55555555555556</v>
      </c>
      <c r="V198" s="52">
        <f t="shared" si="125"/>
        <v>500</v>
      </c>
      <c r="W198" s="51">
        <f>10000000-5000000</f>
        <v>5000000</v>
      </c>
      <c r="X198" s="52">
        <f t="shared" si="126"/>
        <v>100</v>
      </c>
      <c r="Y198" s="51">
        <f>10000000-5000000</f>
        <v>5000000</v>
      </c>
      <c r="Z198" s="52">
        <f t="shared" si="127"/>
        <v>100</v>
      </c>
      <c r="AA198" s="51">
        <f>10000000-5000000</f>
        <v>5000000</v>
      </c>
      <c r="AB198" s="52">
        <f t="shared" si="128"/>
        <v>100</v>
      </c>
      <c r="AC198" s="31">
        <f t="shared" si="110"/>
        <v>5175000</v>
      </c>
      <c r="AD198" s="31">
        <f t="shared" si="111"/>
        <v>5145000</v>
      </c>
      <c r="AE198" s="31">
        <f t="shared" si="129"/>
        <v>9513000</v>
      </c>
      <c r="AF198" s="31">
        <f t="shared" si="130"/>
        <v>5225000</v>
      </c>
      <c r="AI198" s="51">
        <v>10000000</v>
      </c>
      <c r="AJ198" s="51">
        <v>10000000</v>
      </c>
      <c r="AK198" s="51">
        <f>10000000-5000000</f>
        <v>5000000</v>
      </c>
      <c r="AL198" s="51">
        <f t="shared" si="121"/>
        <v>0</v>
      </c>
      <c r="AM198" s="51">
        <f t="shared" si="122"/>
        <v>-5000000</v>
      </c>
    </row>
    <row r="199" spans="1:39" s="40" customFormat="1" ht="12.75" customHeight="1" hidden="1">
      <c r="A199" s="39" t="s">
        <v>343</v>
      </c>
      <c r="C199" s="40" t="s">
        <v>344</v>
      </c>
      <c r="D199" s="31"/>
      <c r="E199" s="31"/>
      <c r="F199" s="31"/>
      <c r="G199" s="31"/>
      <c r="H199" s="31"/>
      <c r="I199" s="31"/>
      <c r="J199" s="31"/>
      <c r="K199" s="31"/>
      <c r="L199" s="41" t="e">
        <f aca="true" t="shared" si="131" ref="L199:L206">K199/J199*100</f>
        <v>#DIV/0!</v>
      </c>
      <c r="M199" s="31"/>
      <c r="N199" s="42">
        <f t="shared" si="118"/>
        <v>0</v>
      </c>
      <c r="O199" s="31"/>
      <c r="P199" s="31"/>
      <c r="Q199" s="41" t="e">
        <f aca="true" t="shared" si="132" ref="Q199:Q205">O199/J199*100</f>
        <v>#DIV/0!</v>
      </c>
      <c r="R199" s="41" t="e">
        <f t="shared" si="123"/>
        <v>#DIV/0!</v>
      </c>
      <c r="S199" s="31"/>
      <c r="T199" s="42">
        <f t="shared" si="119"/>
        <v>0</v>
      </c>
      <c r="U199" s="41" t="e">
        <f t="shared" si="124"/>
        <v>#DIV/0!</v>
      </c>
      <c r="V199" s="41" t="e">
        <f t="shared" si="125"/>
        <v>#DIV/0!</v>
      </c>
      <c r="W199" s="31"/>
      <c r="X199" s="41" t="e">
        <f t="shared" si="126"/>
        <v>#DIV/0!</v>
      </c>
      <c r="Y199" s="31"/>
      <c r="Z199" s="41" t="e">
        <f t="shared" si="127"/>
        <v>#DIV/0!</v>
      </c>
      <c r="AA199" s="31"/>
      <c r="AB199" s="41" t="e">
        <f t="shared" si="128"/>
        <v>#DIV/0!</v>
      </c>
      <c r="AC199" s="31">
        <f aca="true" t="shared" si="133" ref="AC199:AC215">W199*1.035</f>
        <v>0</v>
      </c>
      <c r="AD199" s="31">
        <f aca="true" t="shared" si="134" ref="AD199:AD215">Y199*1.029</f>
        <v>0</v>
      </c>
      <c r="AE199" s="31">
        <f t="shared" si="129"/>
        <v>0</v>
      </c>
      <c r="AF199" s="31">
        <f t="shared" si="130"/>
        <v>0</v>
      </c>
      <c r="AI199" s="31"/>
      <c r="AJ199" s="31"/>
      <c r="AK199" s="31"/>
      <c r="AL199" s="31">
        <f t="shared" si="121"/>
        <v>0</v>
      </c>
      <c r="AM199" s="31">
        <f t="shared" si="122"/>
        <v>0</v>
      </c>
    </row>
    <row r="200" spans="1:39" s="40" customFormat="1" ht="12.75" customHeight="1" hidden="1">
      <c r="A200" s="39" t="s">
        <v>345</v>
      </c>
      <c r="C200" s="40" t="s">
        <v>346</v>
      </c>
      <c r="D200" s="31"/>
      <c r="E200" s="31"/>
      <c r="F200" s="31"/>
      <c r="G200" s="31"/>
      <c r="H200" s="31"/>
      <c r="I200" s="31"/>
      <c r="J200" s="31"/>
      <c r="K200" s="31"/>
      <c r="L200" s="41" t="e">
        <f t="shared" si="131"/>
        <v>#DIV/0!</v>
      </c>
      <c r="M200" s="31"/>
      <c r="N200" s="42">
        <f t="shared" si="118"/>
        <v>0</v>
      </c>
      <c r="O200" s="31"/>
      <c r="P200" s="31"/>
      <c r="Q200" s="41" t="e">
        <f t="shared" si="132"/>
        <v>#DIV/0!</v>
      </c>
      <c r="R200" s="41" t="e">
        <f t="shared" si="123"/>
        <v>#DIV/0!</v>
      </c>
      <c r="S200" s="31"/>
      <c r="T200" s="42">
        <f t="shared" si="119"/>
        <v>0</v>
      </c>
      <c r="U200" s="41" t="e">
        <f t="shared" si="124"/>
        <v>#DIV/0!</v>
      </c>
      <c r="V200" s="41" t="e">
        <f t="shared" si="125"/>
        <v>#DIV/0!</v>
      </c>
      <c r="W200" s="31"/>
      <c r="X200" s="41" t="e">
        <f t="shared" si="126"/>
        <v>#DIV/0!</v>
      </c>
      <c r="Y200" s="31"/>
      <c r="Z200" s="41" t="e">
        <f t="shared" si="127"/>
        <v>#DIV/0!</v>
      </c>
      <c r="AA200" s="31"/>
      <c r="AB200" s="41" t="e">
        <f t="shared" si="128"/>
        <v>#DIV/0!</v>
      </c>
      <c r="AC200" s="31">
        <f t="shared" si="133"/>
        <v>0</v>
      </c>
      <c r="AD200" s="31">
        <f t="shared" si="134"/>
        <v>0</v>
      </c>
      <c r="AE200" s="31">
        <f t="shared" si="129"/>
        <v>0</v>
      </c>
      <c r="AF200" s="31">
        <f t="shared" si="130"/>
        <v>0</v>
      </c>
      <c r="AI200" s="31"/>
      <c r="AJ200" s="31"/>
      <c r="AK200" s="31"/>
      <c r="AL200" s="31">
        <f t="shared" si="121"/>
        <v>0</v>
      </c>
      <c r="AM200" s="31">
        <f t="shared" si="122"/>
        <v>0</v>
      </c>
    </row>
    <row r="201" spans="1:39" s="40" customFormat="1" ht="12.75" customHeight="1" hidden="1">
      <c r="A201" s="39" t="s">
        <v>347</v>
      </c>
      <c r="C201" s="40" t="s">
        <v>348</v>
      </c>
      <c r="D201" s="31"/>
      <c r="E201" s="31"/>
      <c r="F201" s="31"/>
      <c r="G201" s="31"/>
      <c r="H201" s="31"/>
      <c r="I201" s="31"/>
      <c r="J201" s="31"/>
      <c r="K201" s="31"/>
      <c r="L201" s="41" t="e">
        <f t="shared" si="131"/>
        <v>#DIV/0!</v>
      </c>
      <c r="M201" s="31"/>
      <c r="N201" s="42">
        <f t="shared" si="118"/>
        <v>0</v>
      </c>
      <c r="O201" s="31"/>
      <c r="P201" s="31"/>
      <c r="Q201" s="41" t="e">
        <f t="shared" si="132"/>
        <v>#DIV/0!</v>
      </c>
      <c r="R201" s="41" t="e">
        <f t="shared" si="123"/>
        <v>#DIV/0!</v>
      </c>
      <c r="S201" s="31"/>
      <c r="T201" s="42">
        <f t="shared" si="119"/>
        <v>0</v>
      </c>
      <c r="U201" s="41" t="e">
        <f t="shared" si="124"/>
        <v>#DIV/0!</v>
      </c>
      <c r="V201" s="41" t="e">
        <f t="shared" si="125"/>
        <v>#DIV/0!</v>
      </c>
      <c r="W201" s="31"/>
      <c r="X201" s="41" t="e">
        <f t="shared" si="126"/>
        <v>#DIV/0!</v>
      </c>
      <c r="Y201" s="31"/>
      <c r="Z201" s="41" t="e">
        <f t="shared" si="127"/>
        <v>#DIV/0!</v>
      </c>
      <c r="AA201" s="31"/>
      <c r="AB201" s="41" t="e">
        <f t="shared" si="128"/>
        <v>#DIV/0!</v>
      </c>
      <c r="AC201" s="31">
        <f t="shared" si="133"/>
        <v>0</v>
      </c>
      <c r="AD201" s="31">
        <f t="shared" si="134"/>
        <v>0</v>
      </c>
      <c r="AE201" s="31">
        <f t="shared" si="129"/>
        <v>0</v>
      </c>
      <c r="AF201" s="31">
        <f t="shared" si="130"/>
        <v>0</v>
      </c>
      <c r="AI201" s="31"/>
      <c r="AJ201" s="31"/>
      <c r="AK201" s="31"/>
      <c r="AL201" s="31">
        <f t="shared" si="121"/>
        <v>0</v>
      </c>
      <c r="AM201" s="31">
        <f t="shared" si="122"/>
        <v>0</v>
      </c>
    </row>
    <row r="202" spans="1:39" s="40" customFormat="1" ht="12.75" customHeight="1">
      <c r="A202" s="39" t="s">
        <v>349</v>
      </c>
      <c r="C202" s="40" t="s">
        <v>350</v>
      </c>
      <c r="D202" s="31"/>
      <c r="E202" s="31">
        <f>SUM(E203:E206)</f>
        <v>141212111</v>
      </c>
      <c r="F202" s="31"/>
      <c r="G202" s="31">
        <f>SUM(G203:G206)</f>
        <v>96273862</v>
      </c>
      <c r="H202" s="31">
        <f>SUM(H203:H206)</f>
        <v>130521300</v>
      </c>
      <c r="I202" s="31">
        <f>SUM(I203:I206)</f>
        <v>153100000</v>
      </c>
      <c r="J202" s="31">
        <f>SUM(J203:J206)</f>
        <v>145741816.01000002</v>
      </c>
      <c r="K202" s="31">
        <f>SUM(K203:K206)</f>
        <v>153953000</v>
      </c>
      <c r="L202" s="41">
        <f t="shared" si="131"/>
        <v>105.63406180518334</v>
      </c>
      <c r="M202" s="31">
        <f>SUM(M203:M206)</f>
        <v>180800000</v>
      </c>
      <c r="N202" s="42">
        <f t="shared" si="118"/>
        <v>0.013348801303111283</v>
      </c>
      <c r="O202" s="31">
        <f>SUM(O203:O206)</f>
        <v>152000000</v>
      </c>
      <c r="P202" s="31"/>
      <c r="Q202" s="41">
        <f t="shared" si="132"/>
        <v>104.29402086602968</v>
      </c>
      <c r="R202" s="41">
        <f t="shared" si="123"/>
        <v>84.070796460177</v>
      </c>
      <c r="S202" s="31">
        <f>SUM(S203:S206)</f>
        <v>174077550</v>
      </c>
      <c r="T202" s="42">
        <f t="shared" si="119"/>
        <v>0.011979774390517561</v>
      </c>
      <c r="U202" s="41">
        <f t="shared" si="124"/>
        <v>96.2818307522124</v>
      </c>
      <c r="V202" s="41">
        <f t="shared" si="125"/>
        <v>114.52470394736842</v>
      </c>
      <c r="W202" s="31">
        <f>SUM(W203:W206)</f>
        <v>178423000</v>
      </c>
      <c r="X202" s="41">
        <f t="shared" si="126"/>
        <v>102.4962724946439</v>
      </c>
      <c r="Y202" s="31">
        <f>SUM(Y203:Y206)</f>
        <v>182000000</v>
      </c>
      <c r="Z202" s="41">
        <f t="shared" si="127"/>
        <v>102.00478637843776</v>
      </c>
      <c r="AA202" s="31">
        <f>SUM(AA203:AA206)</f>
        <v>187000000</v>
      </c>
      <c r="AB202" s="41">
        <f t="shared" si="128"/>
        <v>102.74725274725273</v>
      </c>
      <c r="AC202" s="31">
        <f t="shared" si="133"/>
        <v>184667805</v>
      </c>
      <c r="AD202" s="31">
        <f t="shared" si="134"/>
        <v>187277999.99999997</v>
      </c>
      <c r="AE202" s="31">
        <f t="shared" si="129"/>
        <v>191105600</v>
      </c>
      <c r="AF202" s="31">
        <f t="shared" si="130"/>
        <v>181911039.75</v>
      </c>
      <c r="AI202" s="31">
        <f>SUM(AI203:AI206)</f>
        <v>172600000</v>
      </c>
      <c r="AJ202" s="31">
        <f>SUM(AJ203:AJ206)</f>
        <v>172600000</v>
      </c>
      <c r="AK202" s="31">
        <f>SUM(AK203:AK206)</f>
        <v>174077550</v>
      </c>
      <c r="AL202" s="31">
        <f t="shared" si="121"/>
        <v>0</v>
      </c>
      <c r="AM202" s="31">
        <f t="shared" si="122"/>
        <v>1477550</v>
      </c>
    </row>
    <row r="203" spans="1:39" s="50" customFormat="1" ht="12.75" customHeight="1">
      <c r="A203" s="48" t="s">
        <v>351</v>
      </c>
      <c r="B203" s="49"/>
      <c r="C203" s="50" t="s">
        <v>352</v>
      </c>
      <c r="D203" s="51"/>
      <c r="E203" s="51">
        <v>71663024</v>
      </c>
      <c r="F203" s="51"/>
      <c r="G203" s="51">
        <v>87392014</v>
      </c>
      <c r="H203" s="51">
        <v>104721300</v>
      </c>
      <c r="I203" s="51">
        <v>127300000</v>
      </c>
      <c r="J203" s="51">
        <v>110817952.2</v>
      </c>
      <c r="K203" s="51">
        <f>100000000+31953000</f>
        <v>131953000</v>
      </c>
      <c r="L203" s="52">
        <f t="shared" si="131"/>
        <v>119.07186279877855</v>
      </c>
      <c r="M203" s="51">
        <f>100000000+31953000+7637000+19210000</f>
        <v>158800000</v>
      </c>
      <c r="N203" s="53">
        <f t="shared" si="118"/>
        <v>0.011724500259591104</v>
      </c>
      <c r="O203" s="51">
        <f>100000000+31953000+7637000+19210000-28800000</f>
        <v>130000000</v>
      </c>
      <c r="P203" s="51"/>
      <c r="Q203" s="52">
        <f t="shared" si="132"/>
        <v>117.30951296174557</v>
      </c>
      <c r="R203" s="52">
        <f t="shared" si="123"/>
        <v>81.86397984886649</v>
      </c>
      <c r="S203" s="51">
        <v>148600000</v>
      </c>
      <c r="T203" s="53">
        <f t="shared" si="119"/>
        <v>0.010226444905910669</v>
      </c>
      <c r="U203" s="52">
        <f t="shared" si="124"/>
        <v>93.57682619647355</v>
      </c>
      <c r="V203" s="52">
        <f t="shared" si="125"/>
        <v>114.3076923076923</v>
      </c>
      <c r="W203" s="51">
        <v>151423000</v>
      </c>
      <c r="X203" s="52">
        <f t="shared" si="126"/>
        <v>101.89973082099597</v>
      </c>
      <c r="Y203" s="51">
        <v>155000000</v>
      </c>
      <c r="Z203" s="52">
        <f t="shared" si="127"/>
        <v>102.36225672453986</v>
      </c>
      <c r="AA203" s="51">
        <v>160000000</v>
      </c>
      <c r="AB203" s="52">
        <f t="shared" si="128"/>
        <v>103.2258064516129</v>
      </c>
      <c r="AC203" s="31">
        <f t="shared" si="133"/>
        <v>156722805</v>
      </c>
      <c r="AD203" s="31">
        <f t="shared" si="134"/>
        <v>159495000</v>
      </c>
      <c r="AE203" s="31">
        <f t="shared" si="129"/>
        <v>167851600</v>
      </c>
      <c r="AF203" s="31">
        <f t="shared" si="130"/>
        <v>155287000</v>
      </c>
      <c r="AI203" s="51">
        <v>148600000</v>
      </c>
      <c r="AJ203" s="51">
        <v>148600000</v>
      </c>
      <c r="AK203" s="51">
        <v>148600000</v>
      </c>
      <c r="AL203" s="51">
        <f t="shared" si="121"/>
        <v>0</v>
      </c>
      <c r="AM203" s="51">
        <f t="shared" si="122"/>
        <v>0</v>
      </c>
    </row>
    <row r="204" spans="1:39" s="50" customFormat="1" ht="11.25">
      <c r="A204" s="48" t="s">
        <v>353</v>
      </c>
      <c r="B204" s="49"/>
      <c r="C204" s="50" t="s">
        <v>354</v>
      </c>
      <c r="D204" s="51"/>
      <c r="E204" s="51">
        <v>67457151</v>
      </c>
      <c r="F204" s="51"/>
      <c r="G204" s="51">
        <v>7654319</v>
      </c>
      <c r="H204" s="51">
        <f>20000000+3800000</f>
        <v>23800000</v>
      </c>
      <c r="I204" s="51">
        <f>20000000+3800000</f>
        <v>23800000</v>
      </c>
      <c r="J204" s="51">
        <f>33131317.37+19281.2</f>
        <v>33150598.57</v>
      </c>
      <c r="K204" s="51">
        <v>20000000</v>
      </c>
      <c r="L204" s="52">
        <f t="shared" si="131"/>
        <v>60.33073568119286</v>
      </c>
      <c r="M204" s="51">
        <v>20000000</v>
      </c>
      <c r="N204" s="53">
        <f t="shared" si="118"/>
        <v>0.001476637312291071</v>
      </c>
      <c r="O204" s="51">
        <f>20000000</f>
        <v>20000000</v>
      </c>
      <c r="P204" s="51"/>
      <c r="Q204" s="52">
        <f t="shared" si="132"/>
        <v>60.33073568119286</v>
      </c>
      <c r="R204" s="52">
        <f t="shared" si="123"/>
        <v>100</v>
      </c>
      <c r="S204" s="51">
        <f>22000000+1477550</f>
        <v>23477550</v>
      </c>
      <c r="T204" s="53">
        <f t="shared" si="119"/>
        <v>0.0016156922718759286</v>
      </c>
      <c r="U204" s="52">
        <f t="shared" si="124"/>
        <v>117.38775</v>
      </c>
      <c r="V204" s="52">
        <f t="shared" si="125"/>
        <v>117.38775</v>
      </c>
      <c r="W204" s="51">
        <v>25000000</v>
      </c>
      <c r="X204" s="52">
        <f t="shared" si="126"/>
        <v>106.48470560173442</v>
      </c>
      <c r="Y204" s="51">
        <v>25000000</v>
      </c>
      <c r="Z204" s="52">
        <f t="shared" si="127"/>
        <v>100</v>
      </c>
      <c r="AA204" s="51">
        <v>25000000</v>
      </c>
      <c r="AB204" s="52">
        <f t="shared" si="128"/>
        <v>100</v>
      </c>
      <c r="AC204" s="31">
        <f t="shared" si="133"/>
        <v>25874999.999999996</v>
      </c>
      <c r="AD204" s="31">
        <f t="shared" si="134"/>
        <v>25724999.999999996</v>
      </c>
      <c r="AE204" s="31">
        <f t="shared" si="129"/>
        <v>21140000</v>
      </c>
      <c r="AF204" s="31">
        <f t="shared" si="130"/>
        <v>24534039.75</v>
      </c>
      <c r="AI204" s="51">
        <v>22000000</v>
      </c>
      <c r="AJ204" s="51">
        <v>22000000</v>
      </c>
      <c r="AK204" s="51">
        <f>22000000+1477550</f>
        <v>23477550</v>
      </c>
      <c r="AL204" s="51">
        <f t="shared" si="121"/>
        <v>0</v>
      </c>
      <c r="AM204" s="51">
        <f t="shared" si="122"/>
        <v>1477550</v>
      </c>
    </row>
    <row r="205" spans="1:39" s="50" customFormat="1" ht="11.25">
      <c r="A205" s="48" t="s">
        <v>355</v>
      </c>
      <c r="B205" s="49"/>
      <c r="C205" s="50" t="s">
        <v>356</v>
      </c>
      <c r="D205" s="51"/>
      <c r="E205" s="51">
        <v>2091936</v>
      </c>
      <c r="F205" s="51"/>
      <c r="G205" s="51">
        <v>1227529</v>
      </c>
      <c r="H205" s="51">
        <v>2000000</v>
      </c>
      <c r="I205" s="51">
        <v>2000000</v>
      </c>
      <c r="J205" s="51">
        <v>1726391.5</v>
      </c>
      <c r="K205" s="51">
        <v>2000000</v>
      </c>
      <c r="L205" s="52">
        <f t="shared" si="131"/>
        <v>115.84857779941571</v>
      </c>
      <c r="M205" s="51">
        <v>2000000</v>
      </c>
      <c r="N205" s="53">
        <f t="shared" si="118"/>
        <v>0.0001476637312291071</v>
      </c>
      <c r="O205" s="51">
        <v>2000000</v>
      </c>
      <c r="P205" s="51"/>
      <c r="Q205" s="52">
        <f t="shared" si="132"/>
        <v>115.84857779941571</v>
      </c>
      <c r="R205" s="52">
        <f t="shared" si="123"/>
        <v>100</v>
      </c>
      <c r="S205" s="51">
        <v>2000000</v>
      </c>
      <c r="T205" s="53">
        <f t="shared" si="119"/>
        <v>0.00013763721273096457</v>
      </c>
      <c r="U205" s="52">
        <f t="shared" si="124"/>
        <v>100</v>
      </c>
      <c r="V205" s="52">
        <f t="shared" si="125"/>
        <v>100</v>
      </c>
      <c r="W205" s="51">
        <v>2000000</v>
      </c>
      <c r="X205" s="52">
        <f t="shared" si="126"/>
        <v>100</v>
      </c>
      <c r="Y205" s="51">
        <v>2000000</v>
      </c>
      <c r="Z205" s="52">
        <f t="shared" si="127"/>
        <v>100</v>
      </c>
      <c r="AA205" s="51">
        <v>2000000</v>
      </c>
      <c r="AB205" s="52">
        <f t="shared" si="128"/>
        <v>100</v>
      </c>
      <c r="AC205" s="31">
        <f t="shared" si="133"/>
        <v>2069999.9999999998</v>
      </c>
      <c r="AD205" s="31">
        <f t="shared" si="134"/>
        <v>2057999.9999999998</v>
      </c>
      <c r="AE205" s="31">
        <f t="shared" si="129"/>
        <v>2114000</v>
      </c>
      <c r="AF205" s="31">
        <f t="shared" si="130"/>
        <v>2089999.9999999998</v>
      </c>
      <c r="AI205" s="51">
        <v>2000000</v>
      </c>
      <c r="AJ205" s="51">
        <v>2000000</v>
      </c>
      <c r="AK205" s="51">
        <v>2000000</v>
      </c>
      <c r="AL205" s="51">
        <f t="shared" si="121"/>
        <v>0</v>
      </c>
      <c r="AM205" s="51">
        <f t="shared" si="122"/>
        <v>0</v>
      </c>
    </row>
    <row r="206" spans="1:39" s="50" customFormat="1" ht="11.25">
      <c r="A206" s="48" t="s">
        <v>357</v>
      </c>
      <c r="B206" s="49"/>
      <c r="C206" s="50" t="s">
        <v>358</v>
      </c>
      <c r="D206" s="51"/>
      <c r="E206" s="51"/>
      <c r="F206" s="51"/>
      <c r="G206" s="51"/>
      <c r="H206" s="51"/>
      <c r="I206" s="51"/>
      <c r="J206" s="51">
        <f>37779.69+9094.05</f>
        <v>46873.740000000005</v>
      </c>
      <c r="K206" s="51"/>
      <c r="L206" s="52">
        <f t="shared" si="131"/>
        <v>0</v>
      </c>
      <c r="M206" s="51"/>
      <c r="N206" s="53">
        <f t="shared" si="118"/>
        <v>0</v>
      </c>
      <c r="O206" s="51"/>
      <c r="P206" s="51"/>
      <c r="Q206" s="52"/>
      <c r="R206" s="52"/>
      <c r="S206" s="51"/>
      <c r="T206" s="53">
        <f t="shared" si="119"/>
        <v>0</v>
      </c>
      <c r="U206" s="52"/>
      <c r="V206" s="52"/>
      <c r="W206" s="51"/>
      <c r="X206" s="52"/>
      <c r="Y206" s="51"/>
      <c r="Z206" s="52"/>
      <c r="AA206" s="51"/>
      <c r="AB206" s="52"/>
      <c r="AC206" s="31">
        <f t="shared" si="133"/>
        <v>0</v>
      </c>
      <c r="AD206" s="31">
        <f t="shared" si="134"/>
        <v>0</v>
      </c>
      <c r="AE206" s="31">
        <f t="shared" si="129"/>
        <v>0</v>
      </c>
      <c r="AF206" s="31">
        <f t="shared" si="130"/>
        <v>0</v>
      </c>
      <c r="AI206" s="51"/>
      <c r="AJ206" s="51"/>
      <c r="AK206" s="51"/>
      <c r="AL206" s="51"/>
      <c r="AM206" s="51"/>
    </row>
    <row r="207" spans="1:39" ht="9" customHeight="1">
      <c r="A207" s="29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6">
        <f t="shared" si="118"/>
        <v>0</v>
      </c>
      <c r="O207" s="25"/>
      <c r="P207" s="25"/>
      <c r="Q207" s="25"/>
      <c r="R207" s="25"/>
      <c r="S207" s="25"/>
      <c r="T207" s="26">
        <f t="shared" si="119"/>
        <v>0</v>
      </c>
      <c r="U207" s="25"/>
      <c r="V207" s="25"/>
      <c r="W207" s="25"/>
      <c r="X207" s="25"/>
      <c r="Y207" s="25"/>
      <c r="Z207" s="25"/>
      <c r="AA207" s="25"/>
      <c r="AB207" s="25"/>
      <c r="AC207" s="31">
        <f t="shared" si="133"/>
        <v>0</v>
      </c>
      <c r="AD207" s="31">
        <f t="shared" si="134"/>
        <v>0</v>
      </c>
      <c r="AE207" s="31">
        <f t="shared" si="129"/>
        <v>0</v>
      </c>
      <c r="AF207" s="31">
        <f t="shared" si="130"/>
        <v>0</v>
      </c>
      <c r="AI207" s="25"/>
      <c r="AJ207" s="25"/>
      <c r="AK207" s="25"/>
      <c r="AL207" s="25"/>
      <c r="AM207" s="25"/>
    </row>
    <row r="208" spans="1:39" s="27" customFormat="1" ht="15.75">
      <c r="A208" s="28">
        <v>72</v>
      </c>
      <c r="C208" s="27" t="s">
        <v>359</v>
      </c>
      <c r="D208" s="19">
        <f aca="true" t="shared" si="135" ref="D208:K208">D211+D222</f>
        <v>467544000</v>
      </c>
      <c r="E208" s="19">
        <f t="shared" si="135"/>
        <v>2174365432.48</v>
      </c>
      <c r="F208" s="19">
        <f t="shared" si="135"/>
        <v>438000000</v>
      </c>
      <c r="G208" s="19">
        <f t="shared" si="135"/>
        <v>1377575470.81</v>
      </c>
      <c r="H208" s="19">
        <f t="shared" si="135"/>
        <v>879890000</v>
      </c>
      <c r="I208" s="19">
        <f t="shared" si="135"/>
        <v>1050000000</v>
      </c>
      <c r="J208" s="19">
        <f t="shared" si="135"/>
        <v>1057411007.66</v>
      </c>
      <c r="K208" s="19">
        <f t="shared" si="135"/>
        <v>752000000</v>
      </c>
      <c r="L208" s="20">
        <f>K208/J208*100</f>
        <v>71.11709586456264</v>
      </c>
      <c r="M208" s="19">
        <f>M211+M222</f>
        <v>817000000</v>
      </c>
      <c r="N208" s="21">
        <f t="shared" si="118"/>
        <v>0.06032063420709025</v>
      </c>
      <c r="O208" s="19">
        <f>O211+O222</f>
        <v>505130000</v>
      </c>
      <c r="P208" s="19"/>
      <c r="Q208" s="20">
        <f>O208/J208*100</f>
        <v>47.77045031125868</v>
      </c>
      <c r="R208" s="20">
        <f>O208/M208*100</f>
        <v>61.827417380660954</v>
      </c>
      <c r="S208" s="19">
        <f>S211+S222</f>
        <v>1247774000</v>
      </c>
      <c r="T208" s="21">
        <f t="shared" si="119"/>
        <v>0.0858700677390833</v>
      </c>
      <c r="U208" s="20">
        <f>S208/M208*100</f>
        <v>152.7263157894737</v>
      </c>
      <c r="V208" s="20">
        <f>S208/O208*100</f>
        <v>247.02037099360558</v>
      </c>
      <c r="W208" s="19">
        <f>W211+W222</f>
        <v>609000000</v>
      </c>
      <c r="X208" s="20">
        <f>W208/S208*100</f>
        <v>48.80691535486394</v>
      </c>
      <c r="Y208" s="19">
        <f>Y211+Y222</f>
        <v>594000000</v>
      </c>
      <c r="Z208" s="20">
        <f>Y208/W208*100</f>
        <v>97.53694581280789</v>
      </c>
      <c r="AA208" s="19">
        <f>AA211+AA222</f>
        <v>584000000</v>
      </c>
      <c r="AB208" s="20">
        <f>AA208/Y208*100</f>
        <v>98.31649831649831</v>
      </c>
      <c r="AC208" s="31">
        <f t="shared" si="133"/>
        <v>630315000</v>
      </c>
      <c r="AD208" s="31">
        <f t="shared" si="134"/>
        <v>611226000</v>
      </c>
      <c r="AE208" s="31">
        <f t="shared" si="129"/>
        <v>863569000</v>
      </c>
      <c r="AF208" s="31">
        <f t="shared" si="130"/>
        <v>1303923830</v>
      </c>
      <c r="AI208" s="19">
        <f>AI211+AI222</f>
        <v>914774000</v>
      </c>
      <c r="AJ208" s="19">
        <f>AJ211+AJ222</f>
        <v>1264774000</v>
      </c>
      <c r="AK208" s="19">
        <f>AK211+AK222</f>
        <v>1247774000</v>
      </c>
      <c r="AL208" s="19">
        <f>AJ208-AI208</f>
        <v>350000000</v>
      </c>
      <c r="AM208" s="19">
        <f>AK208-AJ208</f>
        <v>-17000000</v>
      </c>
    </row>
    <row r="209" spans="1:39" ht="12.75">
      <c r="A209" s="29"/>
      <c r="C209" s="30" t="s">
        <v>360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6">
        <f aca="true" t="shared" si="136" ref="N209:N215">M209/$M$9</f>
        <v>0</v>
      </c>
      <c r="O209" s="25"/>
      <c r="P209" s="25"/>
      <c r="Q209" s="25"/>
      <c r="R209" s="25"/>
      <c r="S209" s="25"/>
      <c r="T209" s="26">
        <f aca="true" t="shared" si="137" ref="T209:T215">S209/$S$9</f>
        <v>0</v>
      </c>
      <c r="U209" s="25"/>
      <c r="V209" s="25"/>
      <c r="W209" s="25"/>
      <c r="X209" s="25"/>
      <c r="Y209" s="25"/>
      <c r="Z209" s="25"/>
      <c r="AA209" s="25"/>
      <c r="AB209" s="25"/>
      <c r="AC209" s="31">
        <f t="shared" si="133"/>
        <v>0</v>
      </c>
      <c r="AD209" s="31">
        <f t="shared" si="134"/>
        <v>0</v>
      </c>
      <c r="AE209" s="31">
        <f t="shared" si="129"/>
        <v>0</v>
      </c>
      <c r="AF209" s="31">
        <f t="shared" si="130"/>
        <v>0</v>
      </c>
      <c r="AI209" s="25"/>
      <c r="AJ209" s="25"/>
      <c r="AK209" s="25"/>
      <c r="AL209" s="25"/>
      <c r="AM209" s="25"/>
    </row>
    <row r="210" spans="1:39" ht="9" customHeight="1">
      <c r="A210" s="29"/>
      <c r="C210" s="3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6">
        <f t="shared" si="136"/>
        <v>0</v>
      </c>
      <c r="O210" s="25"/>
      <c r="P210" s="25"/>
      <c r="Q210" s="25"/>
      <c r="R210" s="25"/>
      <c r="S210" s="25"/>
      <c r="T210" s="26">
        <f t="shared" si="137"/>
        <v>0</v>
      </c>
      <c r="U210" s="25"/>
      <c r="V210" s="25"/>
      <c r="W210" s="25"/>
      <c r="X210" s="25"/>
      <c r="Y210" s="25"/>
      <c r="Z210" s="25"/>
      <c r="AA210" s="25"/>
      <c r="AB210" s="25"/>
      <c r="AC210" s="31">
        <f t="shared" si="133"/>
        <v>0</v>
      </c>
      <c r="AD210" s="31">
        <f t="shared" si="134"/>
        <v>0</v>
      </c>
      <c r="AE210" s="31">
        <f t="shared" si="129"/>
        <v>0</v>
      </c>
      <c r="AF210" s="31">
        <f t="shared" si="130"/>
        <v>0</v>
      </c>
      <c r="AI210" s="25"/>
      <c r="AJ210" s="25"/>
      <c r="AK210" s="25"/>
      <c r="AL210" s="25"/>
      <c r="AM210" s="25"/>
    </row>
    <row r="211" spans="1:39" s="35" customFormat="1" ht="12.75">
      <c r="A211" s="34">
        <v>720</v>
      </c>
      <c r="C211" s="35" t="s">
        <v>361</v>
      </c>
      <c r="D211" s="36">
        <f>D212</f>
        <v>425544000</v>
      </c>
      <c r="E211" s="36">
        <f>E212+E217</f>
        <v>1263088747.74</v>
      </c>
      <c r="F211" s="36">
        <f>F212</f>
        <v>288000000</v>
      </c>
      <c r="G211" s="36">
        <f>G212+G217+G219</f>
        <v>323560920</v>
      </c>
      <c r="H211" s="36">
        <f>H212</f>
        <v>277890000</v>
      </c>
      <c r="I211" s="36">
        <f>I212</f>
        <v>278000000</v>
      </c>
      <c r="J211" s="36">
        <f>J212+J217+J219</f>
        <v>307334327.6</v>
      </c>
      <c r="K211" s="36">
        <f>K212+K217</f>
        <v>338000000</v>
      </c>
      <c r="L211" s="37">
        <f>K211/J211*100</f>
        <v>109.97795223184823</v>
      </c>
      <c r="M211" s="36">
        <f>M212+M217+M219</f>
        <v>338000000</v>
      </c>
      <c r="N211" s="38">
        <f t="shared" si="136"/>
        <v>0.0249551705777191</v>
      </c>
      <c r="O211" s="36">
        <f>O212+O217+O219</f>
        <v>305130000</v>
      </c>
      <c r="P211" s="36"/>
      <c r="Q211" s="37">
        <f>O211/J211*100</f>
        <v>99.28275906657944</v>
      </c>
      <c r="R211" s="37">
        <f>O211/M211*100</f>
        <v>90.27514792899409</v>
      </c>
      <c r="S211" s="36">
        <f>S212+S217+S219</f>
        <v>407774000</v>
      </c>
      <c r="T211" s="38">
        <f t="shared" si="137"/>
        <v>0.028062438392078174</v>
      </c>
      <c r="U211" s="37">
        <f>S211/M211*100</f>
        <v>120.64319526627219</v>
      </c>
      <c r="V211" s="37">
        <f>S211/O211*100</f>
        <v>133.6394323730869</v>
      </c>
      <c r="W211" s="36">
        <f>W212+W217+W219</f>
        <v>329000000</v>
      </c>
      <c r="X211" s="37">
        <f>W211/S211*100</f>
        <v>80.68194637225523</v>
      </c>
      <c r="Y211" s="36">
        <f>Y212+Y217+Y219</f>
        <v>334000000</v>
      </c>
      <c r="Z211" s="37">
        <f>Y211/W211*100</f>
        <v>101.51975683890578</v>
      </c>
      <c r="AA211" s="36">
        <f>AA212+AA217+AA219</f>
        <v>334000000</v>
      </c>
      <c r="AB211" s="37">
        <f>AA211/Y211*100</f>
        <v>100</v>
      </c>
      <c r="AC211" s="31">
        <f t="shared" si="133"/>
        <v>340515000</v>
      </c>
      <c r="AD211" s="31">
        <f t="shared" si="134"/>
        <v>343686000</v>
      </c>
      <c r="AE211" s="31">
        <f t="shared" si="129"/>
        <v>357266000</v>
      </c>
      <c r="AF211" s="31">
        <f t="shared" si="130"/>
        <v>426123830</v>
      </c>
      <c r="AI211" s="36">
        <f>AI212+AI217+AI219</f>
        <v>424774000</v>
      </c>
      <c r="AJ211" s="36">
        <f>AJ212+AJ217+AJ219</f>
        <v>424774000</v>
      </c>
      <c r="AK211" s="36">
        <f>AK212+AK217+AK219</f>
        <v>407774000</v>
      </c>
      <c r="AL211" s="36">
        <f aca="true" t="shared" si="138" ref="AL211:AM215">AJ211-AI211</f>
        <v>0</v>
      </c>
      <c r="AM211" s="36">
        <f t="shared" si="138"/>
        <v>-17000000</v>
      </c>
    </row>
    <row r="212" spans="1:39" s="35" customFormat="1" ht="12.75">
      <c r="A212" s="34">
        <v>7200</v>
      </c>
      <c r="C212" s="35" t="s">
        <v>362</v>
      </c>
      <c r="D212" s="36">
        <f aca="true" t="shared" si="139" ref="D212:K212">SUM(D213:D215)</f>
        <v>425544000</v>
      </c>
      <c r="E212" s="36">
        <f t="shared" si="139"/>
        <v>351812063</v>
      </c>
      <c r="F212" s="36">
        <f t="shared" si="139"/>
        <v>288000000</v>
      </c>
      <c r="G212" s="36">
        <f t="shared" si="139"/>
        <v>323560920</v>
      </c>
      <c r="H212" s="36">
        <f t="shared" si="139"/>
        <v>277890000</v>
      </c>
      <c r="I212" s="36">
        <f t="shared" si="139"/>
        <v>278000000</v>
      </c>
      <c r="J212" s="36">
        <f t="shared" si="139"/>
        <v>307334327.6</v>
      </c>
      <c r="K212" s="36">
        <f t="shared" si="139"/>
        <v>338000000</v>
      </c>
      <c r="L212" s="37">
        <f>K212/J212*100</f>
        <v>109.97795223184823</v>
      </c>
      <c r="M212" s="36">
        <f>SUM(M213:M215)</f>
        <v>338000000</v>
      </c>
      <c r="N212" s="38">
        <f t="shared" si="136"/>
        <v>0.0249551705777191</v>
      </c>
      <c r="O212" s="36">
        <f>SUM(O213:O215)</f>
        <v>305000000</v>
      </c>
      <c r="P212" s="36"/>
      <c r="Q212" s="37">
        <f>O212/J212*100</f>
        <v>99.24045985418259</v>
      </c>
      <c r="R212" s="37">
        <f>O212/M212*100</f>
        <v>90.23668639053254</v>
      </c>
      <c r="S212" s="36">
        <f>SUM(S213:S216)</f>
        <v>407774000</v>
      </c>
      <c r="T212" s="38">
        <f t="shared" si="137"/>
        <v>0.028062438392078174</v>
      </c>
      <c r="U212" s="37">
        <f>S212/M212*100</f>
        <v>120.64319526627219</v>
      </c>
      <c r="V212" s="37">
        <f>S212/O212*100</f>
        <v>133.69639344262293</v>
      </c>
      <c r="W212" s="36">
        <f>SUM(W213:W215)</f>
        <v>329000000</v>
      </c>
      <c r="X212" s="37">
        <f>W212/S212*100</f>
        <v>80.68194637225523</v>
      </c>
      <c r="Y212" s="36">
        <f>SUM(Y213:Y215)</f>
        <v>334000000</v>
      </c>
      <c r="Z212" s="37">
        <f>Y212/W212*100</f>
        <v>101.51975683890578</v>
      </c>
      <c r="AA212" s="36">
        <f>SUM(AA213:AA215)</f>
        <v>334000000</v>
      </c>
      <c r="AB212" s="37">
        <f>AA212/Y212*100</f>
        <v>100</v>
      </c>
      <c r="AC212" s="31">
        <f t="shared" si="133"/>
        <v>340515000</v>
      </c>
      <c r="AD212" s="31">
        <f t="shared" si="134"/>
        <v>343686000</v>
      </c>
      <c r="AE212" s="31">
        <f t="shared" si="129"/>
        <v>357266000</v>
      </c>
      <c r="AF212" s="31">
        <f t="shared" si="130"/>
        <v>426123830</v>
      </c>
      <c r="AI212" s="36">
        <f>SUM(AI213:AI215)</f>
        <v>424774000</v>
      </c>
      <c r="AJ212" s="36">
        <f>SUM(AJ213:AJ215)</f>
        <v>424774000</v>
      </c>
      <c r="AK212" s="36">
        <f>SUM(AK213:AK216)</f>
        <v>407774000</v>
      </c>
      <c r="AL212" s="36">
        <f t="shared" si="138"/>
        <v>0</v>
      </c>
      <c r="AM212" s="36">
        <f t="shared" si="138"/>
        <v>-17000000</v>
      </c>
    </row>
    <row r="213" spans="1:39" s="40" customFormat="1" ht="12.75" customHeight="1">
      <c r="A213" s="39" t="s">
        <v>363</v>
      </c>
      <c r="C213" s="40" t="s">
        <v>364</v>
      </c>
      <c r="D213" s="31">
        <v>335000000</v>
      </c>
      <c r="E213" s="31"/>
      <c r="F213" s="31">
        <v>270000000</v>
      </c>
      <c r="G213" s="31"/>
      <c r="H213" s="31"/>
      <c r="I213" s="31"/>
      <c r="J213" s="31"/>
      <c r="K213" s="31">
        <v>40000000</v>
      </c>
      <c r="L213" s="31"/>
      <c r="M213" s="31">
        <v>40000000</v>
      </c>
      <c r="N213" s="42">
        <f t="shared" si="136"/>
        <v>0.002953274624582142</v>
      </c>
      <c r="O213" s="31">
        <v>5000000</v>
      </c>
      <c r="P213" s="31"/>
      <c r="Q213" s="41"/>
      <c r="R213" s="41">
        <f>O213/M213*100</f>
        <v>12.5</v>
      </c>
      <c r="S213" s="31">
        <v>34000000</v>
      </c>
      <c r="T213" s="42">
        <f t="shared" si="137"/>
        <v>0.002339832616426398</v>
      </c>
      <c r="U213" s="41">
        <f>S213/M213*100</f>
        <v>85</v>
      </c>
      <c r="V213" s="41">
        <f>S213/O213*100</f>
        <v>680</v>
      </c>
      <c r="W213" s="31">
        <v>30000000</v>
      </c>
      <c r="X213" s="41">
        <f>W213/S213*100</f>
        <v>88.23529411764706</v>
      </c>
      <c r="Y213" s="31">
        <v>34000000</v>
      </c>
      <c r="Z213" s="41">
        <f>Y213/W213*100</f>
        <v>113.33333333333333</v>
      </c>
      <c r="AA213" s="31">
        <v>34000000</v>
      </c>
      <c r="AB213" s="41">
        <f>AA213/Y213*100</f>
        <v>100</v>
      </c>
      <c r="AC213" s="31">
        <f t="shared" si="133"/>
        <v>31049999.999999996</v>
      </c>
      <c r="AD213" s="31">
        <f t="shared" si="134"/>
        <v>34986000</v>
      </c>
      <c r="AE213" s="31">
        <f t="shared" si="129"/>
        <v>42280000</v>
      </c>
      <c r="AF213" s="31">
        <f t="shared" si="130"/>
        <v>35530000</v>
      </c>
      <c r="AI213" s="31">
        <v>34000000</v>
      </c>
      <c r="AJ213" s="31">
        <v>34000000</v>
      </c>
      <c r="AK213" s="31">
        <v>34000000</v>
      </c>
      <c r="AL213" s="31">
        <f t="shared" si="138"/>
        <v>0</v>
      </c>
      <c r="AM213" s="31">
        <f t="shared" si="138"/>
        <v>0</v>
      </c>
    </row>
    <row r="214" spans="1:39" s="40" customFormat="1" ht="12.75" customHeight="1">
      <c r="A214" s="39" t="s">
        <v>365</v>
      </c>
      <c r="C214" s="40" t="s">
        <v>366</v>
      </c>
      <c r="D214" s="31">
        <v>74164000</v>
      </c>
      <c r="E214" s="31">
        <f>319317154+31111372</f>
        <v>350428526</v>
      </c>
      <c r="F214" s="31"/>
      <c r="G214" s="31">
        <v>321430792</v>
      </c>
      <c r="H214" s="31">
        <v>259890000</v>
      </c>
      <c r="I214" s="31">
        <v>260000000</v>
      </c>
      <c r="J214" s="31">
        <v>305849748.6</v>
      </c>
      <c r="K214" s="31">
        <f>255000000+25000000</f>
        <v>280000000</v>
      </c>
      <c r="L214" s="41">
        <f>K214/J214*100</f>
        <v>91.5482197653178</v>
      </c>
      <c r="M214" s="31">
        <f>255000000+25000000</f>
        <v>280000000</v>
      </c>
      <c r="N214" s="42">
        <f t="shared" si="136"/>
        <v>0.020672922372074996</v>
      </c>
      <c r="O214" s="31">
        <f>255000000+25000000+10000000+10000000</f>
        <v>300000000</v>
      </c>
      <c r="P214" s="31"/>
      <c r="Q214" s="41">
        <f>O214/J214*100</f>
        <v>98.08737831998336</v>
      </c>
      <c r="R214" s="41">
        <f>O214/M214*100</f>
        <v>107.14285714285714</v>
      </c>
      <c r="S214" s="31">
        <f>298174000+57000000+25000000-57000000</f>
        <v>323174000</v>
      </c>
      <c r="T214" s="42">
        <f t="shared" si="137"/>
        <v>0.022240384293558374</v>
      </c>
      <c r="U214" s="41">
        <f>S214/M214*100</f>
        <v>115.41928571428572</v>
      </c>
      <c r="V214" s="41">
        <f>S214/O214*100</f>
        <v>107.72466666666666</v>
      </c>
      <c r="W214" s="31">
        <v>299000000</v>
      </c>
      <c r="X214" s="41">
        <f>W214/S214*100</f>
        <v>92.5198190448489</v>
      </c>
      <c r="Y214" s="31">
        <v>300000000</v>
      </c>
      <c r="Z214" s="41">
        <f>Y214/W214*100</f>
        <v>100.33444816053512</v>
      </c>
      <c r="AA214" s="31">
        <v>300000000</v>
      </c>
      <c r="AB214" s="41">
        <f>AA214/Y214*100</f>
        <v>100</v>
      </c>
      <c r="AC214" s="31">
        <f t="shared" si="133"/>
        <v>309465000</v>
      </c>
      <c r="AD214" s="31">
        <f t="shared" si="134"/>
        <v>308700000</v>
      </c>
      <c r="AE214" s="31">
        <f t="shared" si="129"/>
        <v>295960000</v>
      </c>
      <c r="AF214" s="31">
        <f t="shared" si="130"/>
        <v>337716830</v>
      </c>
      <c r="AI214" s="31">
        <f>298174000+57000000+25000000</f>
        <v>380174000</v>
      </c>
      <c r="AJ214" s="31">
        <f>298174000+57000000+25000000</f>
        <v>380174000</v>
      </c>
      <c r="AK214" s="31">
        <f>298174000+57000000+25000000-57000000</f>
        <v>323174000</v>
      </c>
      <c r="AL214" s="31">
        <f t="shared" si="138"/>
        <v>0</v>
      </c>
      <c r="AM214" s="31">
        <f t="shared" si="138"/>
        <v>-57000000</v>
      </c>
    </row>
    <row r="215" spans="1:39" s="40" customFormat="1" ht="12.75" customHeight="1">
      <c r="A215" s="39" t="s">
        <v>367</v>
      </c>
      <c r="C215" s="40" t="s">
        <v>368</v>
      </c>
      <c r="D215" s="31">
        <v>16380000</v>
      </c>
      <c r="E215" s="31">
        <v>1383537</v>
      </c>
      <c r="F215" s="31">
        <v>18000000</v>
      </c>
      <c r="G215" s="31">
        <v>2130128</v>
      </c>
      <c r="H215" s="31">
        <v>18000000</v>
      </c>
      <c r="I215" s="31">
        <v>18000000</v>
      </c>
      <c r="J215" s="31">
        <v>1484579</v>
      </c>
      <c r="K215" s="31">
        <v>18000000</v>
      </c>
      <c r="L215" s="41">
        <f>K215/J215*100</f>
        <v>1212.46494797515</v>
      </c>
      <c r="M215" s="31">
        <v>18000000</v>
      </c>
      <c r="N215" s="42">
        <f t="shared" si="136"/>
        <v>0.001328973581061964</v>
      </c>
      <c r="O215" s="31">
        <f>2000000-2000000</f>
        <v>0</v>
      </c>
      <c r="P215" s="31"/>
      <c r="Q215" s="41">
        <f>O215/J215*100</f>
        <v>0</v>
      </c>
      <c r="R215" s="41">
        <f>O215/M215*100</f>
        <v>0</v>
      </c>
      <c r="S215" s="31">
        <f>18000000-7400000</f>
        <v>10600000</v>
      </c>
      <c r="T215" s="42">
        <f t="shared" si="137"/>
        <v>0.0007294772274741122</v>
      </c>
      <c r="U215" s="41">
        <f>S215/M215*100</f>
        <v>58.88888888888889</v>
      </c>
      <c r="V215" s="41"/>
      <c r="W215" s="31">
        <v>0</v>
      </c>
      <c r="X215" s="41">
        <f>W215/S215*100</f>
        <v>0</v>
      </c>
      <c r="Y215" s="31">
        <v>0</v>
      </c>
      <c r="Z215" s="41"/>
      <c r="AA215" s="31">
        <v>0</v>
      </c>
      <c r="AB215" s="41"/>
      <c r="AC215" s="31">
        <f t="shared" si="133"/>
        <v>0</v>
      </c>
      <c r="AD215" s="31">
        <f t="shared" si="134"/>
        <v>0</v>
      </c>
      <c r="AE215" s="31">
        <f t="shared" si="129"/>
        <v>19026000</v>
      </c>
      <c r="AF215" s="31">
        <f t="shared" si="130"/>
        <v>11077000</v>
      </c>
      <c r="AI215" s="31">
        <f>18000000-7400000</f>
        <v>10600000</v>
      </c>
      <c r="AJ215" s="31">
        <f>18000000-7400000</f>
        <v>10600000</v>
      </c>
      <c r="AK215" s="31">
        <f>18000000-7400000</f>
        <v>10600000</v>
      </c>
      <c r="AL215" s="31">
        <f t="shared" si="138"/>
        <v>0</v>
      </c>
      <c r="AM215" s="31">
        <f t="shared" si="138"/>
        <v>0</v>
      </c>
    </row>
    <row r="216" spans="1:39" s="40" customFormat="1" ht="12.75" customHeight="1">
      <c r="A216" s="39" t="s">
        <v>369</v>
      </c>
      <c r="C216" s="40" t="s">
        <v>370</v>
      </c>
      <c r="D216" s="31"/>
      <c r="E216" s="31"/>
      <c r="F216" s="31"/>
      <c r="G216" s="31"/>
      <c r="H216" s="31"/>
      <c r="I216" s="31"/>
      <c r="J216" s="31"/>
      <c r="K216" s="31"/>
      <c r="L216" s="41"/>
      <c r="M216" s="31"/>
      <c r="N216" s="42"/>
      <c r="O216" s="31"/>
      <c r="P216" s="31"/>
      <c r="Q216" s="41"/>
      <c r="R216" s="41"/>
      <c r="S216" s="31">
        <v>40000000</v>
      </c>
      <c r="T216" s="42"/>
      <c r="U216" s="41"/>
      <c r="V216" s="41"/>
      <c r="W216" s="31"/>
      <c r="X216" s="41"/>
      <c r="Y216" s="31"/>
      <c r="Z216" s="41"/>
      <c r="AA216" s="31"/>
      <c r="AB216" s="41"/>
      <c r="AC216" s="31"/>
      <c r="AD216" s="31"/>
      <c r="AE216" s="31"/>
      <c r="AF216" s="31"/>
      <c r="AI216" s="31"/>
      <c r="AJ216" s="31"/>
      <c r="AK216" s="31">
        <v>40000000</v>
      </c>
      <c r="AL216" s="31"/>
      <c r="AM216" s="31">
        <f>AK216-AJ216</f>
        <v>40000000</v>
      </c>
    </row>
    <row r="217" spans="1:39" s="35" customFormat="1" ht="12.75">
      <c r="A217" s="34">
        <v>7201</v>
      </c>
      <c r="C217" s="35" t="s">
        <v>371</v>
      </c>
      <c r="D217" s="36">
        <f>SUM(D218:D222)</f>
        <v>503000000</v>
      </c>
      <c r="E217" s="36">
        <f>SUM(E218:E220)</f>
        <v>911276684.74</v>
      </c>
      <c r="F217" s="36">
        <f>SUM(F218:F222)</f>
        <v>870000000</v>
      </c>
      <c r="G217" s="36">
        <f>G218</f>
        <v>0</v>
      </c>
      <c r="H217" s="36">
        <f>SUM(H218:H222)</f>
        <v>2408000000</v>
      </c>
      <c r="I217" s="36">
        <f>SUM(I218:I222)</f>
        <v>3088000000</v>
      </c>
      <c r="J217" s="36">
        <f>J218</f>
        <v>0</v>
      </c>
      <c r="K217" s="36">
        <f>K218</f>
        <v>0</v>
      </c>
      <c r="L217" s="37" t="e">
        <f>K217/J217*100</f>
        <v>#DIV/0!</v>
      </c>
      <c r="M217" s="36">
        <f>M218</f>
        <v>0</v>
      </c>
      <c r="N217" s="38">
        <f aca="true" t="shared" si="140" ref="N217:N248">M217/$M$9</f>
        <v>0</v>
      </c>
      <c r="O217" s="36">
        <f>O218</f>
        <v>30000</v>
      </c>
      <c r="P217" s="36"/>
      <c r="Q217" s="37"/>
      <c r="R217" s="37"/>
      <c r="S217" s="36">
        <f>S218</f>
        <v>0</v>
      </c>
      <c r="T217" s="38">
        <f aca="true" t="shared" si="141" ref="T217:T248">S217/$S$9</f>
        <v>0</v>
      </c>
      <c r="U217" s="37"/>
      <c r="V217" s="37">
        <f>S217/O217*100</f>
        <v>0</v>
      </c>
      <c r="W217" s="36">
        <f>W218</f>
        <v>0</v>
      </c>
      <c r="X217" s="37"/>
      <c r="Y217" s="36">
        <f>Y218</f>
        <v>0</v>
      </c>
      <c r="Z217" s="37"/>
      <c r="AA217" s="36">
        <f>AA218</f>
        <v>0</v>
      </c>
      <c r="AB217" s="37"/>
      <c r="AC217" s="31">
        <f aca="true" t="shared" si="142" ref="AC217:AC248">W217*1.035</f>
        <v>0</v>
      </c>
      <c r="AD217" s="31">
        <f aca="true" t="shared" si="143" ref="AD217:AD248">Y217*1.029</f>
        <v>0</v>
      </c>
      <c r="AE217" s="31">
        <f aca="true" t="shared" si="144" ref="AE217:AE264">M217*1.057</f>
        <v>0</v>
      </c>
      <c r="AF217" s="31">
        <f aca="true" t="shared" si="145" ref="AF217:AF264">S217*1.045</f>
        <v>0</v>
      </c>
      <c r="AI217" s="36">
        <f>AI218</f>
        <v>0</v>
      </c>
      <c r="AJ217" s="36">
        <f>AJ218</f>
        <v>0</v>
      </c>
      <c r="AK217" s="36">
        <f>AK218</f>
        <v>0</v>
      </c>
      <c r="AL217" s="36">
        <f>AJ217-AI217</f>
        <v>0</v>
      </c>
      <c r="AM217" s="36">
        <f>AK217-AJ217</f>
        <v>0</v>
      </c>
    </row>
    <row r="218" spans="1:39" s="40" customFormat="1" ht="12.75" customHeight="1">
      <c r="A218" s="39" t="s">
        <v>372</v>
      </c>
      <c r="C218" s="40" t="s">
        <v>373</v>
      </c>
      <c r="D218" s="31">
        <v>335000000</v>
      </c>
      <c r="E218" s="31"/>
      <c r="F218" s="31">
        <v>270000000</v>
      </c>
      <c r="G218" s="31"/>
      <c r="H218" s="31"/>
      <c r="I218" s="31"/>
      <c r="J218" s="31"/>
      <c r="K218" s="31"/>
      <c r="L218" s="31"/>
      <c r="M218" s="31"/>
      <c r="N218" s="42">
        <f t="shared" si="140"/>
        <v>0</v>
      </c>
      <c r="O218" s="31">
        <v>30000</v>
      </c>
      <c r="P218" s="31"/>
      <c r="Q218" s="31"/>
      <c r="R218" s="31"/>
      <c r="S218" s="31"/>
      <c r="T218" s="42">
        <f t="shared" si="141"/>
        <v>0</v>
      </c>
      <c r="U218" s="31"/>
      <c r="V218" s="31">
        <f>S218/O218*100</f>
        <v>0</v>
      </c>
      <c r="W218" s="31"/>
      <c r="X218" s="41"/>
      <c r="Y218" s="31"/>
      <c r="Z218" s="41"/>
      <c r="AA218" s="31"/>
      <c r="AB218" s="41"/>
      <c r="AC218" s="31">
        <f t="shared" si="142"/>
        <v>0</v>
      </c>
      <c r="AD218" s="31">
        <f t="shared" si="143"/>
        <v>0</v>
      </c>
      <c r="AE218" s="31">
        <f t="shared" si="144"/>
        <v>0</v>
      </c>
      <c r="AF218" s="31">
        <f t="shared" si="145"/>
        <v>0</v>
      </c>
      <c r="AI218" s="31"/>
      <c r="AJ218" s="31"/>
      <c r="AK218" s="31"/>
      <c r="AL218" s="31">
        <f>AJ218-AI218</f>
        <v>0</v>
      </c>
      <c r="AM218" s="31">
        <f>AK218-AJ218</f>
        <v>0</v>
      </c>
    </row>
    <row r="219" spans="1:39" s="35" customFormat="1" ht="12.75">
      <c r="A219" s="34">
        <v>7202</v>
      </c>
      <c r="C219" s="35" t="s">
        <v>374</v>
      </c>
      <c r="D219" s="36">
        <f>SUM(D220:D224)</f>
        <v>126000000</v>
      </c>
      <c r="E219" s="36">
        <f>SUM(E220:E222)</f>
        <v>911276684.74</v>
      </c>
      <c r="F219" s="36">
        <f>SUM(F220:F224)</f>
        <v>450000000</v>
      </c>
      <c r="G219" s="36">
        <f>G220</f>
        <v>0</v>
      </c>
      <c r="H219" s="36">
        <f>SUM(H220:H224)</f>
        <v>1806000000</v>
      </c>
      <c r="I219" s="36">
        <f>SUM(I220:I224)</f>
        <v>2316000000</v>
      </c>
      <c r="J219" s="36">
        <f>J220</f>
        <v>0</v>
      </c>
      <c r="K219" s="36">
        <f>K220</f>
        <v>0</v>
      </c>
      <c r="L219" s="37" t="e">
        <f>K219/J219*100</f>
        <v>#DIV/0!</v>
      </c>
      <c r="M219" s="36">
        <f>M220</f>
        <v>0</v>
      </c>
      <c r="N219" s="38">
        <f t="shared" si="140"/>
        <v>0</v>
      </c>
      <c r="O219" s="36">
        <f>O220</f>
        <v>100000</v>
      </c>
      <c r="P219" s="36"/>
      <c r="Q219" s="37"/>
      <c r="R219" s="37"/>
      <c r="S219" s="36">
        <f>S220</f>
        <v>0</v>
      </c>
      <c r="T219" s="38">
        <f t="shared" si="141"/>
        <v>0</v>
      </c>
      <c r="U219" s="37"/>
      <c r="V219" s="37">
        <f>S219/O219*100</f>
        <v>0</v>
      </c>
      <c r="W219" s="36">
        <f>W220</f>
        <v>0</v>
      </c>
      <c r="X219" s="37"/>
      <c r="Y219" s="36">
        <f>Y220</f>
        <v>0</v>
      </c>
      <c r="Z219" s="37"/>
      <c r="AA219" s="36">
        <f>AA220</f>
        <v>0</v>
      </c>
      <c r="AB219" s="37"/>
      <c r="AC219" s="31">
        <f t="shared" si="142"/>
        <v>0</v>
      </c>
      <c r="AD219" s="31">
        <f t="shared" si="143"/>
        <v>0</v>
      </c>
      <c r="AE219" s="31">
        <f t="shared" si="144"/>
        <v>0</v>
      </c>
      <c r="AF219" s="31">
        <f t="shared" si="145"/>
        <v>0</v>
      </c>
      <c r="AI219" s="36">
        <f>AI220</f>
        <v>0</v>
      </c>
      <c r="AJ219" s="36">
        <f>AJ220</f>
        <v>0</v>
      </c>
      <c r="AK219" s="36">
        <f>AK220</f>
        <v>0</v>
      </c>
      <c r="AL219" s="36">
        <f>AJ219-AI219</f>
        <v>0</v>
      </c>
      <c r="AM219" s="36">
        <f>AK219-AJ219</f>
        <v>0</v>
      </c>
    </row>
    <row r="220" spans="1:39" s="40" customFormat="1" ht="12.75" customHeight="1">
      <c r="A220" s="39">
        <v>720299</v>
      </c>
      <c r="C220" s="40" t="s">
        <v>375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42">
        <f t="shared" si="140"/>
        <v>0</v>
      </c>
      <c r="O220" s="31">
        <v>100000</v>
      </c>
      <c r="P220" s="31"/>
      <c r="Q220" s="31"/>
      <c r="R220" s="31"/>
      <c r="S220" s="31">
        <v>0</v>
      </c>
      <c r="T220" s="42">
        <f t="shared" si="141"/>
        <v>0</v>
      </c>
      <c r="U220" s="31"/>
      <c r="V220" s="31">
        <f>S220/O220*100</f>
        <v>0</v>
      </c>
      <c r="W220" s="31">
        <v>0</v>
      </c>
      <c r="X220" s="31"/>
      <c r="Y220" s="31">
        <v>0</v>
      </c>
      <c r="Z220" s="31"/>
      <c r="AA220" s="31">
        <v>0</v>
      </c>
      <c r="AB220" s="31"/>
      <c r="AC220" s="31">
        <f t="shared" si="142"/>
        <v>0</v>
      </c>
      <c r="AD220" s="31">
        <f t="shared" si="143"/>
        <v>0</v>
      </c>
      <c r="AE220" s="31">
        <f t="shared" si="144"/>
        <v>0</v>
      </c>
      <c r="AF220" s="31">
        <f t="shared" si="145"/>
        <v>0</v>
      </c>
      <c r="AI220" s="31">
        <v>0</v>
      </c>
      <c r="AJ220" s="31">
        <v>0</v>
      </c>
      <c r="AK220" s="31">
        <v>0</v>
      </c>
      <c r="AL220" s="31">
        <f>AJ220-AI220</f>
        <v>0</v>
      </c>
      <c r="AM220" s="31">
        <f>AK220-AJ220</f>
        <v>0</v>
      </c>
    </row>
    <row r="221" spans="1:39" ht="9" customHeight="1">
      <c r="A221" s="29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6">
        <f t="shared" si="140"/>
        <v>0</v>
      </c>
      <c r="O221" s="25"/>
      <c r="P221" s="25"/>
      <c r="Q221" s="25"/>
      <c r="R221" s="25"/>
      <c r="S221" s="25"/>
      <c r="T221" s="26">
        <f t="shared" si="141"/>
        <v>0</v>
      </c>
      <c r="U221" s="25"/>
      <c r="V221" s="25"/>
      <c r="W221" s="25"/>
      <c r="X221" s="25"/>
      <c r="Y221" s="25"/>
      <c r="Z221" s="25"/>
      <c r="AA221" s="25"/>
      <c r="AB221" s="25"/>
      <c r="AC221" s="31">
        <f t="shared" si="142"/>
        <v>0</v>
      </c>
      <c r="AD221" s="31">
        <f t="shared" si="143"/>
        <v>0</v>
      </c>
      <c r="AE221" s="31">
        <f t="shared" si="144"/>
        <v>0</v>
      </c>
      <c r="AF221" s="31">
        <f t="shared" si="145"/>
        <v>0</v>
      </c>
      <c r="AI221" s="25"/>
      <c r="AJ221" s="25"/>
      <c r="AK221" s="25"/>
      <c r="AL221" s="25"/>
      <c r="AM221" s="25"/>
    </row>
    <row r="222" spans="1:39" s="35" customFormat="1" ht="12.75">
      <c r="A222" s="34">
        <v>722</v>
      </c>
      <c r="C222" s="35" t="s">
        <v>376</v>
      </c>
      <c r="D222" s="36">
        <f aca="true" t="shared" si="146" ref="D222:K222">D223</f>
        <v>42000000</v>
      </c>
      <c r="E222" s="36">
        <f t="shared" si="146"/>
        <v>911276684.74</v>
      </c>
      <c r="F222" s="36">
        <f t="shared" si="146"/>
        <v>150000000</v>
      </c>
      <c r="G222" s="36">
        <f t="shared" si="146"/>
        <v>1054014550.81</v>
      </c>
      <c r="H222" s="36">
        <f t="shared" si="146"/>
        <v>602000000</v>
      </c>
      <c r="I222" s="36">
        <f t="shared" si="146"/>
        <v>772000000</v>
      </c>
      <c r="J222" s="36">
        <f t="shared" si="146"/>
        <v>750076680.06</v>
      </c>
      <c r="K222" s="36">
        <f t="shared" si="146"/>
        <v>414000000</v>
      </c>
      <c r="L222" s="37">
        <f>K222/J222*100</f>
        <v>55.19435692453249</v>
      </c>
      <c r="M222" s="36">
        <f>M223</f>
        <v>479000000</v>
      </c>
      <c r="N222" s="38">
        <f t="shared" si="140"/>
        <v>0.03536546362937115</v>
      </c>
      <c r="O222" s="36">
        <f>O223</f>
        <v>200000000</v>
      </c>
      <c r="P222" s="36"/>
      <c r="Q222" s="37">
        <f>O222/J222*100</f>
        <v>26.663940543252412</v>
      </c>
      <c r="R222" s="37">
        <f>O222/M222*100</f>
        <v>41.75365344467641</v>
      </c>
      <c r="S222" s="36">
        <f>S223</f>
        <v>840000000</v>
      </c>
      <c r="T222" s="38">
        <f t="shared" si="141"/>
        <v>0.057807629347005125</v>
      </c>
      <c r="U222" s="37">
        <f>S222/M222*100</f>
        <v>175.3653444676409</v>
      </c>
      <c r="V222" s="37">
        <f>S222/O222*100</f>
        <v>420</v>
      </c>
      <c r="W222" s="36">
        <f>W223</f>
        <v>280000000</v>
      </c>
      <c r="X222" s="37">
        <f>W222/S222*100</f>
        <v>33.33333333333333</v>
      </c>
      <c r="Y222" s="36">
        <f>Y223</f>
        <v>260000000</v>
      </c>
      <c r="Z222" s="37">
        <f>Y222/W222*100</f>
        <v>92.85714285714286</v>
      </c>
      <c r="AA222" s="36">
        <f>AA223</f>
        <v>250000000</v>
      </c>
      <c r="AB222" s="37">
        <f>AA222/Y222*100</f>
        <v>96.15384615384616</v>
      </c>
      <c r="AC222" s="31">
        <f t="shared" si="142"/>
        <v>289800000</v>
      </c>
      <c r="AD222" s="31">
        <f t="shared" si="143"/>
        <v>267539999.99999997</v>
      </c>
      <c r="AE222" s="31">
        <f t="shared" si="144"/>
        <v>506303000</v>
      </c>
      <c r="AF222" s="31">
        <f t="shared" si="145"/>
        <v>877799999.9999999</v>
      </c>
      <c r="AI222" s="36">
        <f aca="true" t="shared" si="147" ref="AI222:AK223">AI223</f>
        <v>490000000</v>
      </c>
      <c r="AJ222" s="36">
        <f t="shared" si="147"/>
        <v>840000000</v>
      </c>
      <c r="AK222" s="36">
        <f t="shared" si="147"/>
        <v>840000000</v>
      </c>
      <c r="AL222" s="36">
        <f aca="true" t="shared" si="148" ref="AL222:AM227">AJ222-AI222</f>
        <v>350000000</v>
      </c>
      <c r="AM222" s="36">
        <f t="shared" si="148"/>
        <v>0</v>
      </c>
    </row>
    <row r="223" spans="1:39" s="35" customFormat="1" ht="12.75">
      <c r="A223" s="34">
        <v>7221</v>
      </c>
      <c r="C223" s="35" t="s">
        <v>377</v>
      </c>
      <c r="D223" s="36">
        <f>D224</f>
        <v>42000000</v>
      </c>
      <c r="E223" s="36">
        <f>E224</f>
        <v>911276684.74</v>
      </c>
      <c r="F223" s="36">
        <f>SUM(F224:F224)</f>
        <v>150000000</v>
      </c>
      <c r="G223" s="36">
        <f>G224</f>
        <v>1054014550.81</v>
      </c>
      <c r="H223" s="36">
        <f>H224</f>
        <v>602000000</v>
      </c>
      <c r="I223" s="36">
        <f>I224</f>
        <v>772000000</v>
      </c>
      <c r="J223" s="36">
        <f>J224</f>
        <v>750076680.06</v>
      </c>
      <c r="K223" s="36">
        <f>K224</f>
        <v>414000000</v>
      </c>
      <c r="L223" s="37">
        <f>K223/J223*100</f>
        <v>55.19435692453249</v>
      </c>
      <c r="M223" s="36">
        <f>M224</f>
        <v>479000000</v>
      </c>
      <c r="N223" s="38">
        <f t="shared" si="140"/>
        <v>0.03536546362937115</v>
      </c>
      <c r="O223" s="36">
        <f>O224</f>
        <v>200000000</v>
      </c>
      <c r="P223" s="36"/>
      <c r="Q223" s="37">
        <f>O223/J223*100</f>
        <v>26.663940543252412</v>
      </c>
      <c r="R223" s="37">
        <f>O223/M223*100</f>
        <v>41.75365344467641</v>
      </c>
      <c r="S223" s="36">
        <f>S224</f>
        <v>840000000</v>
      </c>
      <c r="T223" s="38">
        <f t="shared" si="141"/>
        <v>0.057807629347005125</v>
      </c>
      <c r="U223" s="37">
        <f>S223/M223*100</f>
        <v>175.3653444676409</v>
      </c>
      <c r="V223" s="37">
        <f>S223/O223*100</f>
        <v>420</v>
      </c>
      <c r="W223" s="36">
        <f>W224</f>
        <v>280000000</v>
      </c>
      <c r="X223" s="37">
        <f>W223/S223*100</f>
        <v>33.33333333333333</v>
      </c>
      <c r="Y223" s="36">
        <f>Y224</f>
        <v>260000000</v>
      </c>
      <c r="Z223" s="37">
        <f>Y223/W223*100</f>
        <v>92.85714285714286</v>
      </c>
      <c r="AA223" s="36">
        <f>AA224</f>
        <v>250000000</v>
      </c>
      <c r="AB223" s="37">
        <f>AA223/Y223*100</f>
        <v>96.15384615384616</v>
      </c>
      <c r="AC223" s="31">
        <f t="shared" si="142"/>
        <v>289800000</v>
      </c>
      <c r="AD223" s="31">
        <f t="shared" si="143"/>
        <v>267539999.99999997</v>
      </c>
      <c r="AE223" s="31">
        <f t="shared" si="144"/>
        <v>506303000</v>
      </c>
      <c r="AF223" s="31">
        <f t="shared" si="145"/>
        <v>877799999.9999999</v>
      </c>
      <c r="AI223" s="36">
        <f t="shared" si="147"/>
        <v>490000000</v>
      </c>
      <c r="AJ223" s="36">
        <f t="shared" si="147"/>
        <v>840000000</v>
      </c>
      <c r="AK223" s="36">
        <f t="shared" si="147"/>
        <v>840000000</v>
      </c>
      <c r="AL223" s="36">
        <f t="shared" si="148"/>
        <v>350000000</v>
      </c>
      <c r="AM223" s="36">
        <f t="shared" si="148"/>
        <v>0</v>
      </c>
    </row>
    <row r="224" spans="1:39" s="40" customFormat="1" ht="12.75" customHeight="1">
      <c r="A224" s="39" t="s">
        <v>378</v>
      </c>
      <c r="C224" s="40" t="s">
        <v>377</v>
      </c>
      <c r="D224" s="31">
        <f>SUM(D225:D227)</f>
        <v>42000000</v>
      </c>
      <c r="E224" s="31">
        <f>SUM(E225:E227)</f>
        <v>911276684.74</v>
      </c>
      <c r="F224" s="31">
        <v>150000000</v>
      </c>
      <c r="G224" s="31">
        <f>SUM(G225:G227)</f>
        <v>1054014550.81</v>
      </c>
      <c r="H224" s="31">
        <f>SUM(H225:H227)</f>
        <v>602000000</v>
      </c>
      <c r="I224" s="31">
        <f>SUM(I225:I227)</f>
        <v>772000000</v>
      </c>
      <c r="J224" s="31">
        <f>SUM(J225:J227)</f>
        <v>750076680.06</v>
      </c>
      <c r="K224" s="31">
        <f>SUM(K225:K227)</f>
        <v>414000000</v>
      </c>
      <c r="L224" s="41">
        <f>K224/J224*100</f>
        <v>55.19435692453249</v>
      </c>
      <c r="M224" s="31">
        <f>SUM(M225:M227)</f>
        <v>479000000</v>
      </c>
      <c r="N224" s="42">
        <f t="shared" si="140"/>
        <v>0.03536546362937115</v>
      </c>
      <c r="O224" s="31">
        <f>SUM(O225:O227)</f>
        <v>200000000</v>
      </c>
      <c r="P224" s="31"/>
      <c r="Q224" s="41">
        <f>O224/J224*100</f>
        <v>26.663940543252412</v>
      </c>
      <c r="R224" s="41">
        <f>O224/M224*100</f>
        <v>41.75365344467641</v>
      </c>
      <c r="S224" s="31">
        <f>SUM(S225:S227)</f>
        <v>840000000</v>
      </c>
      <c r="T224" s="42">
        <f t="shared" si="141"/>
        <v>0.057807629347005125</v>
      </c>
      <c r="U224" s="41">
        <f>S224/M224*100</f>
        <v>175.3653444676409</v>
      </c>
      <c r="V224" s="41">
        <f>S224/O224*100</f>
        <v>420</v>
      </c>
      <c r="W224" s="31">
        <f>SUM(W225:W227)</f>
        <v>280000000</v>
      </c>
      <c r="X224" s="41">
        <f>W224/S224*100</f>
        <v>33.33333333333333</v>
      </c>
      <c r="Y224" s="31">
        <f>SUM(Y225:Y227)</f>
        <v>260000000</v>
      </c>
      <c r="Z224" s="41">
        <f>Y224/W224*100</f>
        <v>92.85714285714286</v>
      </c>
      <c r="AA224" s="31">
        <f>SUM(AA225:AA227)</f>
        <v>250000000</v>
      </c>
      <c r="AB224" s="41">
        <f>AA224/Y224*100</f>
        <v>96.15384615384616</v>
      </c>
      <c r="AC224" s="31">
        <f t="shared" si="142"/>
        <v>289800000</v>
      </c>
      <c r="AD224" s="31">
        <f t="shared" si="143"/>
        <v>267539999.99999997</v>
      </c>
      <c r="AE224" s="31">
        <f t="shared" si="144"/>
        <v>506303000</v>
      </c>
      <c r="AF224" s="31">
        <f t="shared" si="145"/>
        <v>877799999.9999999</v>
      </c>
      <c r="AI224" s="31">
        <f>SUM(AI225:AI227)</f>
        <v>490000000</v>
      </c>
      <c r="AJ224" s="31">
        <f>SUM(AJ225:AJ227)</f>
        <v>840000000</v>
      </c>
      <c r="AK224" s="31">
        <f>SUM(AK225:AK227)</f>
        <v>840000000</v>
      </c>
      <c r="AL224" s="31">
        <f t="shared" si="148"/>
        <v>350000000</v>
      </c>
      <c r="AM224" s="31">
        <f t="shared" si="148"/>
        <v>0</v>
      </c>
    </row>
    <row r="225" spans="1:39" s="50" customFormat="1" ht="12.75" customHeight="1">
      <c r="A225" s="48" t="s">
        <v>379</v>
      </c>
      <c r="B225" s="49"/>
      <c r="C225" s="50" t="s">
        <v>380</v>
      </c>
      <c r="D225" s="51"/>
      <c r="E225" s="51">
        <v>177000655.06</v>
      </c>
      <c r="F225" s="51"/>
      <c r="G225" s="31">
        <v>165150667.38</v>
      </c>
      <c r="H225" s="51">
        <v>200000000</v>
      </c>
      <c r="I225" s="51">
        <v>370000000</v>
      </c>
      <c r="J225" s="51">
        <v>338147162.8</v>
      </c>
      <c r="K225" s="51">
        <f>250000000+120000000+44000000</f>
        <v>414000000</v>
      </c>
      <c r="L225" s="52">
        <f>K225/J225*100</f>
        <v>122.43190112018291</v>
      </c>
      <c r="M225" s="51">
        <f>250000000+120000000+44000000+65000000</f>
        <v>479000000</v>
      </c>
      <c r="N225" s="53">
        <f t="shared" si="140"/>
        <v>0.03536546362937115</v>
      </c>
      <c r="O225" s="51">
        <f>250000000-50000000</f>
        <v>200000000</v>
      </c>
      <c r="P225" s="51"/>
      <c r="Q225" s="52">
        <f>O225/J225*100</f>
        <v>59.145845951779194</v>
      </c>
      <c r="R225" s="52">
        <f>O225/M225*100</f>
        <v>41.75365344467641</v>
      </c>
      <c r="S225" s="51">
        <v>350000000</v>
      </c>
      <c r="T225" s="53">
        <f t="shared" si="141"/>
        <v>0.0240865122279188</v>
      </c>
      <c r="U225" s="52">
        <f>S225/M225*100</f>
        <v>73.06889352818372</v>
      </c>
      <c r="V225" s="52">
        <f>S225/O225*100</f>
        <v>175</v>
      </c>
      <c r="W225" s="51">
        <v>280000000</v>
      </c>
      <c r="X225" s="52">
        <f>W225/S225*100</f>
        <v>80</v>
      </c>
      <c r="Y225" s="51">
        <v>260000000</v>
      </c>
      <c r="Z225" s="52">
        <f>Y225/W225*100</f>
        <v>92.85714285714286</v>
      </c>
      <c r="AA225" s="51">
        <v>250000000</v>
      </c>
      <c r="AB225" s="52">
        <f>AA225/Y225*100</f>
        <v>96.15384615384616</v>
      </c>
      <c r="AC225" s="31">
        <f t="shared" si="142"/>
        <v>289800000</v>
      </c>
      <c r="AD225" s="31">
        <f t="shared" si="143"/>
        <v>267539999.99999997</v>
      </c>
      <c r="AE225" s="31">
        <f t="shared" si="144"/>
        <v>506303000</v>
      </c>
      <c r="AF225" s="31">
        <f t="shared" si="145"/>
        <v>365750000</v>
      </c>
      <c r="AI225" s="51">
        <v>350000000</v>
      </c>
      <c r="AJ225" s="51">
        <v>350000000</v>
      </c>
      <c r="AK225" s="51">
        <v>350000000</v>
      </c>
      <c r="AL225" s="51">
        <f t="shared" si="148"/>
        <v>0</v>
      </c>
      <c r="AM225" s="51">
        <f t="shared" si="148"/>
        <v>0</v>
      </c>
    </row>
    <row r="226" spans="1:39" s="50" customFormat="1" ht="11.25">
      <c r="A226" s="48" t="s">
        <v>381</v>
      </c>
      <c r="B226" s="49"/>
      <c r="C226" s="50" t="s">
        <v>382</v>
      </c>
      <c r="D226" s="51"/>
      <c r="E226" s="51">
        <v>706428293.68</v>
      </c>
      <c r="F226" s="51"/>
      <c r="G226" s="51">
        <v>888863883.43</v>
      </c>
      <c r="H226" s="51">
        <v>402000000</v>
      </c>
      <c r="I226" s="51">
        <v>402000000</v>
      </c>
      <c r="J226" s="51">
        <v>411929517.26</v>
      </c>
      <c r="K226" s="51"/>
      <c r="L226" s="51">
        <f>K226/J226*100</f>
        <v>0</v>
      </c>
      <c r="M226" s="51"/>
      <c r="N226" s="53">
        <f t="shared" si="140"/>
        <v>0</v>
      </c>
      <c r="O226" s="51"/>
      <c r="P226" s="51"/>
      <c r="Q226" s="51"/>
      <c r="R226" s="51"/>
      <c r="S226" s="51">
        <v>350000000</v>
      </c>
      <c r="T226" s="53">
        <f t="shared" si="141"/>
        <v>0.0240865122279188</v>
      </c>
      <c r="U226" s="51"/>
      <c r="V226" s="51"/>
      <c r="W226" s="51"/>
      <c r="X226" s="51"/>
      <c r="Y226" s="51"/>
      <c r="Z226" s="51"/>
      <c r="AA226" s="51"/>
      <c r="AB226" s="51"/>
      <c r="AC226" s="31">
        <f t="shared" si="142"/>
        <v>0</v>
      </c>
      <c r="AD226" s="31">
        <f t="shared" si="143"/>
        <v>0</v>
      </c>
      <c r="AE226" s="31">
        <f t="shared" si="144"/>
        <v>0</v>
      </c>
      <c r="AF226" s="31">
        <f t="shared" si="145"/>
        <v>365750000</v>
      </c>
      <c r="AI226" s="51"/>
      <c r="AJ226" s="51">
        <v>350000000</v>
      </c>
      <c r="AK226" s="51">
        <v>350000000</v>
      </c>
      <c r="AL226" s="51">
        <f t="shared" si="148"/>
        <v>350000000</v>
      </c>
      <c r="AM226" s="51">
        <f t="shared" si="148"/>
        <v>0</v>
      </c>
    </row>
    <row r="227" spans="1:39" s="50" customFormat="1" ht="11.25">
      <c r="A227" s="48" t="s">
        <v>383</v>
      </c>
      <c r="B227" s="49"/>
      <c r="C227" s="50" t="s">
        <v>384</v>
      </c>
      <c r="D227" s="51">
        <f>15000000+27000000</f>
        <v>42000000</v>
      </c>
      <c r="E227" s="51">
        <f>27847736</f>
        <v>27847736</v>
      </c>
      <c r="F227" s="51"/>
      <c r="G227" s="51"/>
      <c r="H227" s="51"/>
      <c r="I227" s="51"/>
      <c r="J227" s="51"/>
      <c r="K227" s="51"/>
      <c r="L227" s="51"/>
      <c r="M227" s="51"/>
      <c r="N227" s="53">
        <f t="shared" si="140"/>
        <v>0</v>
      </c>
      <c r="O227" s="51"/>
      <c r="P227" s="51"/>
      <c r="Q227" s="51"/>
      <c r="R227" s="51"/>
      <c r="S227" s="51">
        <v>140000000</v>
      </c>
      <c r="T227" s="53">
        <f t="shared" si="141"/>
        <v>0.00963460489116752</v>
      </c>
      <c r="U227" s="51"/>
      <c r="V227" s="51"/>
      <c r="W227" s="51"/>
      <c r="X227" s="51"/>
      <c r="Y227" s="51"/>
      <c r="Z227" s="51"/>
      <c r="AA227" s="51"/>
      <c r="AB227" s="51"/>
      <c r="AC227" s="31">
        <f t="shared" si="142"/>
        <v>0</v>
      </c>
      <c r="AD227" s="31">
        <f t="shared" si="143"/>
        <v>0</v>
      </c>
      <c r="AE227" s="31">
        <f t="shared" si="144"/>
        <v>0</v>
      </c>
      <c r="AF227" s="31">
        <f t="shared" si="145"/>
        <v>146300000</v>
      </c>
      <c r="AI227" s="51">
        <v>140000000</v>
      </c>
      <c r="AJ227" s="51">
        <v>140000000</v>
      </c>
      <c r="AK227" s="51">
        <v>140000000</v>
      </c>
      <c r="AL227" s="51">
        <f t="shared" si="148"/>
        <v>0</v>
      </c>
      <c r="AM227" s="51">
        <f t="shared" si="148"/>
        <v>0</v>
      </c>
    </row>
    <row r="228" spans="1:39" ht="8.25" customHeight="1">
      <c r="A228" s="29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6">
        <f t="shared" si="140"/>
        <v>0</v>
      </c>
      <c r="O228" s="25"/>
      <c r="P228" s="25"/>
      <c r="Q228" s="25"/>
      <c r="R228" s="25"/>
      <c r="S228" s="25"/>
      <c r="T228" s="26">
        <f t="shared" si="141"/>
        <v>0</v>
      </c>
      <c r="U228" s="25"/>
      <c r="V228" s="25"/>
      <c r="W228" s="25"/>
      <c r="X228" s="25"/>
      <c r="Y228" s="25"/>
      <c r="Z228" s="25"/>
      <c r="AA228" s="25"/>
      <c r="AB228" s="25"/>
      <c r="AC228" s="31">
        <f t="shared" si="142"/>
        <v>0</v>
      </c>
      <c r="AD228" s="31">
        <f t="shared" si="143"/>
        <v>0</v>
      </c>
      <c r="AE228" s="31">
        <f t="shared" si="144"/>
        <v>0</v>
      </c>
      <c r="AF228" s="31">
        <f t="shared" si="145"/>
        <v>0</v>
      </c>
      <c r="AI228" s="25"/>
      <c r="AJ228" s="25"/>
      <c r="AK228" s="25"/>
      <c r="AL228" s="25"/>
      <c r="AM228" s="25"/>
    </row>
    <row r="229" spans="1:39" s="27" customFormat="1" ht="15.75">
      <c r="A229" s="28">
        <v>73</v>
      </c>
      <c r="C229" s="27" t="s">
        <v>385</v>
      </c>
      <c r="D229" s="19" t="e">
        <f aca="true" t="shared" si="149" ref="D229:K229">D231</f>
        <v>#REF!</v>
      </c>
      <c r="E229" s="19">
        <f t="shared" si="149"/>
        <v>0</v>
      </c>
      <c r="F229" s="19" t="e">
        <f t="shared" si="149"/>
        <v>#REF!</v>
      </c>
      <c r="G229" s="19">
        <f t="shared" si="149"/>
        <v>0</v>
      </c>
      <c r="H229" s="19">
        <f t="shared" si="149"/>
        <v>0</v>
      </c>
      <c r="I229" s="19">
        <f t="shared" si="149"/>
        <v>0</v>
      </c>
      <c r="J229" s="19">
        <f t="shared" si="149"/>
        <v>0</v>
      </c>
      <c r="K229" s="19">
        <f t="shared" si="149"/>
        <v>30843000</v>
      </c>
      <c r="L229" s="20"/>
      <c r="M229" s="19">
        <f>M231</f>
        <v>30843000</v>
      </c>
      <c r="N229" s="21">
        <f t="shared" si="140"/>
        <v>0.0022771962311496753</v>
      </c>
      <c r="O229" s="19">
        <f>O231</f>
        <v>13000000</v>
      </c>
      <c r="P229" s="19"/>
      <c r="Q229" s="20"/>
      <c r="R229" s="20"/>
      <c r="S229" s="19">
        <f>S231</f>
        <v>0</v>
      </c>
      <c r="T229" s="21">
        <f t="shared" si="141"/>
        <v>0</v>
      </c>
      <c r="U229" s="20">
        <f>S229/M229*100</f>
        <v>0</v>
      </c>
      <c r="V229" s="20">
        <f>S229/O229*100</f>
        <v>0</v>
      </c>
      <c r="W229" s="19">
        <f>W231</f>
        <v>0</v>
      </c>
      <c r="X229" s="20"/>
      <c r="Y229" s="19">
        <f>Y231</f>
        <v>0</v>
      </c>
      <c r="Z229" s="20"/>
      <c r="AA229" s="19">
        <f>AA231</f>
        <v>0</v>
      </c>
      <c r="AB229" s="20"/>
      <c r="AC229" s="31">
        <f t="shared" si="142"/>
        <v>0</v>
      </c>
      <c r="AD229" s="31">
        <f t="shared" si="143"/>
        <v>0</v>
      </c>
      <c r="AE229" s="31">
        <f t="shared" si="144"/>
        <v>32601051</v>
      </c>
      <c r="AF229" s="31">
        <f t="shared" si="145"/>
        <v>0</v>
      </c>
      <c r="AI229" s="19">
        <f>AI231</f>
        <v>0</v>
      </c>
      <c r="AJ229" s="19">
        <f>AJ231</f>
        <v>0</v>
      </c>
      <c r="AK229" s="19">
        <f>AK231</f>
        <v>0</v>
      </c>
      <c r="AL229" s="19">
        <f>AJ229-AI229</f>
        <v>0</v>
      </c>
      <c r="AM229" s="19">
        <f>AK229-AJ229</f>
        <v>0</v>
      </c>
    </row>
    <row r="230" spans="1:39" ht="9" customHeight="1">
      <c r="A230" s="29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6">
        <f t="shared" si="140"/>
        <v>0</v>
      </c>
      <c r="O230" s="25"/>
      <c r="P230" s="25"/>
      <c r="Q230" s="25"/>
      <c r="R230" s="25"/>
      <c r="S230" s="25"/>
      <c r="T230" s="26">
        <f t="shared" si="141"/>
        <v>0</v>
      </c>
      <c r="U230" s="25"/>
      <c r="V230" s="25"/>
      <c r="W230" s="25"/>
      <c r="X230" s="25"/>
      <c r="Y230" s="25"/>
      <c r="Z230" s="25"/>
      <c r="AA230" s="25"/>
      <c r="AB230" s="25"/>
      <c r="AC230" s="31">
        <f t="shared" si="142"/>
        <v>0</v>
      </c>
      <c r="AD230" s="31">
        <f t="shared" si="143"/>
        <v>0</v>
      </c>
      <c r="AE230" s="31">
        <f t="shared" si="144"/>
        <v>0</v>
      </c>
      <c r="AF230" s="31">
        <f t="shared" si="145"/>
        <v>0</v>
      </c>
      <c r="AI230" s="25"/>
      <c r="AJ230" s="25"/>
      <c r="AK230" s="25"/>
      <c r="AL230" s="25"/>
      <c r="AM230" s="25"/>
    </row>
    <row r="231" spans="1:39" s="35" customFormat="1" ht="12.75">
      <c r="A231" s="34">
        <v>731</v>
      </c>
      <c r="C231" s="35" t="s">
        <v>386</v>
      </c>
      <c r="D231" s="36" t="e">
        <f>D233+#REF!</f>
        <v>#REF!</v>
      </c>
      <c r="E231" s="36">
        <f>E232</f>
        <v>0</v>
      </c>
      <c r="F231" s="36" t="e">
        <f>F233+#REF!</f>
        <v>#REF!</v>
      </c>
      <c r="G231" s="36">
        <f aca="true" t="shared" si="150" ref="G231:K232">G232</f>
        <v>0</v>
      </c>
      <c r="H231" s="36">
        <f t="shared" si="150"/>
        <v>0</v>
      </c>
      <c r="I231" s="36">
        <f t="shared" si="150"/>
        <v>0</v>
      </c>
      <c r="J231" s="36">
        <f t="shared" si="150"/>
        <v>0</v>
      </c>
      <c r="K231" s="36">
        <f t="shared" si="150"/>
        <v>30843000</v>
      </c>
      <c r="L231" s="37"/>
      <c r="M231" s="36">
        <f>M232</f>
        <v>30843000</v>
      </c>
      <c r="N231" s="38">
        <f t="shared" si="140"/>
        <v>0.0022771962311496753</v>
      </c>
      <c r="O231" s="36">
        <f>O232</f>
        <v>13000000</v>
      </c>
      <c r="P231" s="36"/>
      <c r="Q231" s="37"/>
      <c r="R231" s="37"/>
      <c r="S231" s="36">
        <f>S232</f>
        <v>0</v>
      </c>
      <c r="T231" s="38">
        <f t="shared" si="141"/>
        <v>0</v>
      </c>
      <c r="U231" s="37">
        <f>S231/M231*100</f>
        <v>0</v>
      </c>
      <c r="V231" s="37">
        <f>S231/O231*100</f>
        <v>0</v>
      </c>
      <c r="W231" s="36">
        <f>W232</f>
        <v>0</v>
      </c>
      <c r="X231" s="37"/>
      <c r="Y231" s="36">
        <f>Y232</f>
        <v>0</v>
      </c>
      <c r="Z231" s="37"/>
      <c r="AA231" s="36">
        <f>AA232</f>
        <v>0</v>
      </c>
      <c r="AB231" s="37"/>
      <c r="AC231" s="31">
        <f t="shared" si="142"/>
        <v>0</v>
      </c>
      <c r="AD231" s="31">
        <f t="shared" si="143"/>
        <v>0</v>
      </c>
      <c r="AE231" s="31">
        <f t="shared" si="144"/>
        <v>32601051</v>
      </c>
      <c r="AF231" s="31">
        <f t="shared" si="145"/>
        <v>0</v>
      </c>
      <c r="AI231" s="36">
        <f aca="true" t="shared" si="151" ref="AI231:AK232">AI232</f>
        <v>0</v>
      </c>
      <c r="AJ231" s="36">
        <f t="shared" si="151"/>
        <v>0</v>
      </c>
      <c r="AK231" s="36">
        <f t="shared" si="151"/>
        <v>0</v>
      </c>
      <c r="AL231" s="36">
        <f aca="true" t="shared" si="152" ref="AL231:AM233">AJ231-AI231</f>
        <v>0</v>
      </c>
      <c r="AM231" s="36">
        <f t="shared" si="152"/>
        <v>0</v>
      </c>
    </row>
    <row r="232" spans="1:39" s="35" customFormat="1" ht="12.75">
      <c r="A232" s="34">
        <v>7310</v>
      </c>
      <c r="C232" s="35" t="s">
        <v>387</v>
      </c>
      <c r="D232" s="36">
        <f>SUM(D249:D256)</f>
        <v>0</v>
      </c>
      <c r="E232" s="36">
        <f>E233</f>
        <v>0</v>
      </c>
      <c r="F232" s="36">
        <f>SUM(F249:F256)</f>
        <v>0</v>
      </c>
      <c r="G232" s="36">
        <f t="shared" si="150"/>
        <v>0</v>
      </c>
      <c r="H232" s="36">
        <f t="shared" si="150"/>
        <v>0</v>
      </c>
      <c r="I232" s="36">
        <f t="shared" si="150"/>
        <v>0</v>
      </c>
      <c r="J232" s="36">
        <f t="shared" si="150"/>
        <v>0</v>
      </c>
      <c r="K232" s="36">
        <f t="shared" si="150"/>
        <v>30843000</v>
      </c>
      <c r="L232" s="37"/>
      <c r="M232" s="36">
        <f>M233</f>
        <v>30843000</v>
      </c>
      <c r="N232" s="38">
        <f t="shared" si="140"/>
        <v>0.0022771962311496753</v>
      </c>
      <c r="O232" s="36">
        <f>O233</f>
        <v>13000000</v>
      </c>
      <c r="P232" s="36"/>
      <c r="Q232" s="37"/>
      <c r="R232" s="37"/>
      <c r="S232" s="36">
        <f>S233</f>
        <v>0</v>
      </c>
      <c r="T232" s="38">
        <f t="shared" si="141"/>
        <v>0</v>
      </c>
      <c r="U232" s="37">
        <f>S232/M232*100</f>
        <v>0</v>
      </c>
      <c r="V232" s="37">
        <f>S232/O232*100</f>
        <v>0</v>
      </c>
      <c r="W232" s="36">
        <f>W233</f>
        <v>0</v>
      </c>
      <c r="X232" s="37"/>
      <c r="Y232" s="36">
        <f>Y233</f>
        <v>0</v>
      </c>
      <c r="Z232" s="37"/>
      <c r="AA232" s="36">
        <f>AA233</f>
        <v>0</v>
      </c>
      <c r="AB232" s="37"/>
      <c r="AC232" s="31">
        <f t="shared" si="142"/>
        <v>0</v>
      </c>
      <c r="AD232" s="31">
        <f t="shared" si="143"/>
        <v>0</v>
      </c>
      <c r="AE232" s="31">
        <f t="shared" si="144"/>
        <v>32601051</v>
      </c>
      <c r="AF232" s="31">
        <f t="shared" si="145"/>
        <v>0</v>
      </c>
      <c r="AI232" s="36">
        <f t="shared" si="151"/>
        <v>0</v>
      </c>
      <c r="AJ232" s="36">
        <f t="shared" si="151"/>
        <v>0</v>
      </c>
      <c r="AK232" s="36">
        <f t="shared" si="151"/>
        <v>0</v>
      </c>
      <c r="AL232" s="36">
        <f t="shared" si="152"/>
        <v>0</v>
      </c>
      <c r="AM232" s="36">
        <f t="shared" si="152"/>
        <v>0</v>
      </c>
    </row>
    <row r="233" spans="1:39" s="40" customFormat="1" ht="12.75" customHeight="1">
      <c r="A233" s="39" t="s">
        <v>388</v>
      </c>
      <c r="C233" s="40" t="s">
        <v>389</v>
      </c>
      <c r="D233" s="31"/>
      <c r="E233" s="31"/>
      <c r="F233" s="31"/>
      <c r="G233" s="31"/>
      <c r="H233" s="31">
        <f>SUM(H234:H234)</f>
        <v>0</v>
      </c>
      <c r="I233" s="31"/>
      <c r="J233" s="31"/>
      <c r="K233" s="31">
        <v>30843000</v>
      </c>
      <c r="L233" s="41"/>
      <c r="M233" s="31">
        <v>30843000</v>
      </c>
      <c r="N233" s="42">
        <f t="shared" si="140"/>
        <v>0.0022771962311496753</v>
      </c>
      <c r="O233" s="31">
        <f>30843000-17843000</f>
        <v>13000000</v>
      </c>
      <c r="P233" s="31"/>
      <c r="Q233" s="41"/>
      <c r="R233" s="41"/>
      <c r="S233" s="31"/>
      <c r="T233" s="42">
        <f t="shared" si="141"/>
        <v>0</v>
      </c>
      <c r="U233" s="41">
        <f>S233/M233*100</f>
        <v>0</v>
      </c>
      <c r="V233" s="41">
        <f>S233/O233*100</f>
        <v>0</v>
      </c>
      <c r="W233" s="31"/>
      <c r="X233" s="41"/>
      <c r="Y233" s="31"/>
      <c r="Z233" s="41"/>
      <c r="AA233" s="31"/>
      <c r="AB233" s="41"/>
      <c r="AC233" s="31">
        <f t="shared" si="142"/>
        <v>0</v>
      </c>
      <c r="AD233" s="31">
        <f t="shared" si="143"/>
        <v>0</v>
      </c>
      <c r="AE233" s="31">
        <f t="shared" si="144"/>
        <v>32601051</v>
      </c>
      <c r="AF233" s="31">
        <f t="shared" si="145"/>
        <v>0</v>
      </c>
      <c r="AI233" s="31"/>
      <c r="AJ233" s="31"/>
      <c r="AK233" s="31"/>
      <c r="AL233" s="31">
        <f t="shared" si="152"/>
        <v>0</v>
      </c>
      <c r="AM233" s="31">
        <f t="shared" si="152"/>
        <v>0</v>
      </c>
    </row>
    <row r="234" spans="1:39" ht="9" customHeight="1">
      <c r="A234" s="29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6">
        <f t="shared" si="140"/>
        <v>0</v>
      </c>
      <c r="O234" s="25"/>
      <c r="P234" s="25"/>
      <c r="Q234" s="25"/>
      <c r="R234" s="25"/>
      <c r="S234" s="25"/>
      <c r="T234" s="26">
        <f t="shared" si="141"/>
        <v>0</v>
      </c>
      <c r="U234" s="25"/>
      <c r="V234" s="25"/>
      <c r="W234" s="25"/>
      <c r="X234" s="25"/>
      <c r="Y234" s="25"/>
      <c r="Z234" s="25"/>
      <c r="AA234" s="25"/>
      <c r="AB234" s="25"/>
      <c r="AC234" s="31">
        <f t="shared" si="142"/>
        <v>0</v>
      </c>
      <c r="AD234" s="31">
        <f t="shared" si="143"/>
        <v>0</v>
      </c>
      <c r="AE234" s="31">
        <f t="shared" si="144"/>
        <v>0</v>
      </c>
      <c r="AF234" s="31">
        <f t="shared" si="145"/>
        <v>0</v>
      </c>
      <c r="AI234" s="25"/>
      <c r="AJ234" s="25"/>
      <c r="AK234" s="25"/>
      <c r="AL234" s="25"/>
      <c r="AM234" s="25"/>
    </row>
    <row r="235" spans="1:39" s="27" customFormat="1" ht="15.75">
      <c r="A235" s="28">
        <v>74</v>
      </c>
      <c r="C235" s="27" t="s">
        <v>390</v>
      </c>
      <c r="D235" s="19">
        <f aca="true" t="shared" si="153" ref="D235:K235">D237</f>
        <v>255607000</v>
      </c>
      <c r="E235" s="19">
        <f t="shared" si="153"/>
        <v>1629437336</v>
      </c>
      <c r="F235" s="19">
        <f t="shared" si="153"/>
        <v>358376000</v>
      </c>
      <c r="G235" s="19">
        <f t="shared" si="153"/>
        <v>1719090044.75</v>
      </c>
      <c r="H235" s="19">
        <f t="shared" si="153"/>
        <v>784513980</v>
      </c>
      <c r="I235" s="19">
        <f t="shared" si="153"/>
        <v>875291280</v>
      </c>
      <c r="J235" s="19">
        <f t="shared" si="153"/>
        <v>677959668.68</v>
      </c>
      <c r="K235" s="19">
        <f t="shared" si="153"/>
        <v>768168000</v>
      </c>
      <c r="L235" s="20">
        <f>K235/J235*100</f>
        <v>113.30585512492762</v>
      </c>
      <c r="M235" s="19">
        <f>M237</f>
        <v>946911125</v>
      </c>
      <c r="N235" s="21">
        <f t="shared" si="140"/>
        <v>0.06991221492992572</v>
      </c>
      <c r="O235" s="19">
        <f>O237</f>
        <v>859558925</v>
      </c>
      <c r="P235" s="19"/>
      <c r="Q235" s="20">
        <f>O235/J235*100</f>
        <v>126.78614447280872</v>
      </c>
      <c r="R235" s="20">
        <f>O235/M235*100</f>
        <v>90.77503709759456</v>
      </c>
      <c r="S235" s="19">
        <f>S237</f>
        <v>878885400</v>
      </c>
      <c r="T235" s="21">
        <f t="shared" si="141"/>
        <v>0.060483668382969445</v>
      </c>
      <c r="U235" s="20">
        <f>S235/M235*100</f>
        <v>92.81603909765028</v>
      </c>
      <c r="V235" s="20">
        <f>S235/O235*100</f>
        <v>102.248417698647</v>
      </c>
      <c r="W235" s="19">
        <f>W237</f>
        <v>356902700</v>
      </c>
      <c r="X235" s="20">
        <f>W235/S235*100</f>
        <v>40.60855943220811</v>
      </c>
      <c r="Y235" s="19">
        <f>Y237</f>
        <v>75160000</v>
      </c>
      <c r="Z235" s="20">
        <f>Y235/W235*100</f>
        <v>21.058960887659296</v>
      </c>
      <c r="AA235" s="19">
        <f>AA237</f>
        <v>93145000</v>
      </c>
      <c r="AB235" s="20">
        <f>AA235/Y235*100</f>
        <v>123.92895156998402</v>
      </c>
      <c r="AC235" s="31">
        <f t="shared" si="142"/>
        <v>369394294.5</v>
      </c>
      <c r="AD235" s="31">
        <f t="shared" si="143"/>
        <v>77339640</v>
      </c>
      <c r="AE235" s="31">
        <f t="shared" si="144"/>
        <v>1000885059.125</v>
      </c>
      <c r="AF235" s="31">
        <f t="shared" si="145"/>
        <v>918435242.9999999</v>
      </c>
      <c r="AI235" s="19">
        <f>AI237</f>
        <v>564868000</v>
      </c>
      <c r="AJ235" s="19">
        <f>AJ237</f>
        <v>841830200</v>
      </c>
      <c r="AK235" s="19">
        <f>AK237</f>
        <v>878885400</v>
      </c>
      <c r="AL235" s="19">
        <f>AJ235-AI235</f>
        <v>276962200</v>
      </c>
      <c r="AM235" s="19">
        <f>AK235-AJ235</f>
        <v>37055200</v>
      </c>
    </row>
    <row r="236" spans="1:39" ht="9" customHeight="1">
      <c r="A236" s="2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6">
        <f t="shared" si="140"/>
        <v>0</v>
      </c>
      <c r="O236" s="25"/>
      <c r="P236" s="25"/>
      <c r="Q236" s="25"/>
      <c r="R236" s="25"/>
      <c r="S236" s="25"/>
      <c r="T236" s="26">
        <f t="shared" si="141"/>
        <v>0</v>
      </c>
      <c r="U236" s="25"/>
      <c r="V236" s="25"/>
      <c r="W236" s="25"/>
      <c r="X236" s="25"/>
      <c r="Y236" s="25"/>
      <c r="Z236" s="25"/>
      <c r="AA236" s="25"/>
      <c r="AB236" s="25"/>
      <c r="AC236" s="31">
        <f t="shared" si="142"/>
        <v>0</v>
      </c>
      <c r="AD236" s="31">
        <f t="shared" si="143"/>
        <v>0</v>
      </c>
      <c r="AE236" s="31">
        <f t="shared" si="144"/>
        <v>0</v>
      </c>
      <c r="AF236" s="31">
        <f t="shared" si="145"/>
        <v>0</v>
      </c>
      <c r="AI236" s="25"/>
      <c r="AJ236" s="25"/>
      <c r="AK236" s="25"/>
      <c r="AL236" s="25"/>
      <c r="AM236" s="25"/>
    </row>
    <row r="237" spans="1:39" s="35" customFormat="1" ht="12.75">
      <c r="A237" s="34">
        <v>740</v>
      </c>
      <c r="C237" s="35" t="s">
        <v>391</v>
      </c>
      <c r="D237" s="36">
        <f aca="true" t="shared" si="154" ref="D237:K237">D239+D269</f>
        <v>255607000</v>
      </c>
      <c r="E237" s="36">
        <f t="shared" si="154"/>
        <v>1629437336</v>
      </c>
      <c r="F237" s="36">
        <f t="shared" si="154"/>
        <v>358376000</v>
      </c>
      <c r="G237" s="36">
        <f t="shared" si="154"/>
        <v>1719090044.75</v>
      </c>
      <c r="H237" s="36">
        <f t="shared" si="154"/>
        <v>784513980</v>
      </c>
      <c r="I237" s="36">
        <f t="shared" si="154"/>
        <v>875291280</v>
      </c>
      <c r="J237" s="36">
        <f t="shared" si="154"/>
        <v>677959668.68</v>
      </c>
      <c r="K237" s="36">
        <f t="shared" si="154"/>
        <v>768168000</v>
      </c>
      <c r="L237" s="37">
        <f>K237/J237*100</f>
        <v>113.30585512492762</v>
      </c>
      <c r="M237" s="36">
        <f>M239+M269</f>
        <v>946911125</v>
      </c>
      <c r="N237" s="38">
        <f t="shared" si="140"/>
        <v>0.06991221492992572</v>
      </c>
      <c r="O237" s="36">
        <f>O239+O269</f>
        <v>859558925</v>
      </c>
      <c r="P237" s="36"/>
      <c r="Q237" s="37">
        <f>O237/J237*100</f>
        <v>126.78614447280872</v>
      </c>
      <c r="R237" s="37">
        <f>O237/M237*100</f>
        <v>90.77503709759456</v>
      </c>
      <c r="S237" s="36">
        <f>S239+S269</f>
        <v>878885400</v>
      </c>
      <c r="T237" s="38">
        <f t="shared" si="141"/>
        <v>0.060483668382969445</v>
      </c>
      <c r="U237" s="37">
        <f>S237/M237*100</f>
        <v>92.81603909765028</v>
      </c>
      <c r="V237" s="37">
        <f>S237/O237*100</f>
        <v>102.248417698647</v>
      </c>
      <c r="W237" s="36">
        <f>W239+W269</f>
        <v>356902700</v>
      </c>
      <c r="X237" s="37">
        <f>W237/S237*100</f>
        <v>40.60855943220811</v>
      </c>
      <c r="Y237" s="36">
        <f>Y239+Y269</f>
        <v>75160000</v>
      </c>
      <c r="Z237" s="37">
        <f>Y237/W237*100</f>
        <v>21.058960887659296</v>
      </c>
      <c r="AA237" s="36">
        <f>AA239+AA269</f>
        <v>93145000</v>
      </c>
      <c r="AB237" s="37">
        <f>AA237/Y237*100</f>
        <v>123.92895156998402</v>
      </c>
      <c r="AC237" s="31">
        <f t="shared" si="142"/>
        <v>369394294.5</v>
      </c>
      <c r="AD237" s="31">
        <f t="shared" si="143"/>
        <v>77339640</v>
      </c>
      <c r="AE237" s="31">
        <f t="shared" si="144"/>
        <v>1000885059.125</v>
      </c>
      <c r="AF237" s="31">
        <f t="shared" si="145"/>
        <v>918435242.9999999</v>
      </c>
      <c r="AI237" s="36">
        <f>AI239+AI269</f>
        <v>564868000</v>
      </c>
      <c r="AJ237" s="36">
        <f>AJ239+AJ269</f>
        <v>841830200</v>
      </c>
      <c r="AK237" s="36">
        <f>AK239+AK269</f>
        <v>878885400</v>
      </c>
      <c r="AL237" s="36">
        <f aca="true" t="shared" si="155" ref="AL237:AL265">AJ237-AI237</f>
        <v>276962200</v>
      </c>
      <c r="AM237" s="36">
        <f aca="true" t="shared" si="156" ref="AM237:AM265">AK237-AJ237</f>
        <v>37055200</v>
      </c>
    </row>
    <row r="238" spans="1:39" s="35" customFormat="1" ht="12.75">
      <c r="A238" s="34"/>
      <c r="C238" s="35" t="s">
        <v>392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8">
        <f t="shared" si="140"/>
        <v>0</v>
      </c>
      <c r="O238" s="36"/>
      <c r="P238" s="36"/>
      <c r="Q238" s="36"/>
      <c r="R238" s="36"/>
      <c r="S238" s="36"/>
      <c r="T238" s="38">
        <f t="shared" si="141"/>
        <v>0</v>
      </c>
      <c r="U238" s="36"/>
      <c r="V238" s="36"/>
      <c r="W238" s="36"/>
      <c r="X238" s="36"/>
      <c r="Y238" s="36"/>
      <c r="Z238" s="36"/>
      <c r="AA238" s="36"/>
      <c r="AB238" s="36"/>
      <c r="AC238" s="31">
        <f t="shared" si="142"/>
        <v>0</v>
      </c>
      <c r="AD238" s="31">
        <f t="shared" si="143"/>
        <v>0</v>
      </c>
      <c r="AE238" s="31">
        <f t="shared" si="144"/>
        <v>0</v>
      </c>
      <c r="AF238" s="31">
        <f t="shared" si="145"/>
        <v>0</v>
      </c>
      <c r="AI238" s="36"/>
      <c r="AJ238" s="36"/>
      <c r="AK238" s="36"/>
      <c r="AL238" s="36">
        <f t="shared" si="155"/>
        <v>0</v>
      </c>
      <c r="AM238" s="36">
        <f t="shared" si="156"/>
        <v>0</v>
      </c>
    </row>
    <row r="239" spans="1:39" s="35" customFormat="1" ht="12.75">
      <c r="A239" s="34">
        <v>7400</v>
      </c>
      <c r="C239" s="35" t="s">
        <v>393</v>
      </c>
      <c r="D239" s="36">
        <f>SUM(D257:D264)</f>
        <v>255607000</v>
      </c>
      <c r="E239" s="36">
        <f>E240+E243+E255</f>
        <v>1609999379</v>
      </c>
      <c r="F239" s="36">
        <f>SUM(F257:F264)</f>
        <v>358376000</v>
      </c>
      <c r="G239" s="36">
        <f>G240+G243+G255</f>
        <v>1690273872.75</v>
      </c>
      <c r="H239" s="36">
        <f>H240+H243+H255</f>
        <v>703013980</v>
      </c>
      <c r="I239" s="36">
        <f>I240+I243+I255</f>
        <v>798291280</v>
      </c>
      <c r="J239" s="36">
        <f>J240+J243+J255</f>
        <v>663399308.25</v>
      </c>
      <c r="K239" s="36">
        <f>K240+K243+K255</f>
        <v>675478000</v>
      </c>
      <c r="L239" s="37">
        <f aca="true" t="shared" si="157" ref="L239:L246">K239/J239*100</f>
        <v>101.820727215086</v>
      </c>
      <c r="M239" s="36">
        <f>M240+M243+M255</f>
        <v>761867575</v>
      </c>
      <c r="N239" s="38">
        <f t="shared" si="140"/>
        <v>0.0562501044134858</v>
      </c>
      <c r="O239" s="36">
        <f>O240+O243+O255</f>
        <v>766887575</v>
      </c>
      <c r="P239" s="36"/>
      <c r="Q239" s="37">
        <f aca="true" t="shared" si="158" ref="Q239:Q246">O239/J239*100</f>
        <v>115.59969470317878</v>
      </c>
      <c r="R239" s="37">
        <f aca="true" t="shared" si="159" ref="R239:R247">O239/M239*100</f>
        <v>100.65890715981712</v>
      </c>
      <c r="S239" s="36">
        <f>S240+S243+S255</f>
        <v>810180400</v>
      </c>
      <c r="T239" s="38">
        <f t="shared" si="141"/>
        <v>0.05575548603262899</v>
      </c>
      <c r="U239" s="37">
        <f aca="true" t="shared" si="160" ref="U239:U247">S239/M239*100</f>
        <v>106.34136778954006</v>
      </c>
      <c r="V239" s="37">
        <f aca="true" t="shared" si="161" ref="V239:V245">S239/O239*100</f>
        <v>105.64526358377888</v>
      </c>
      <c r="W239" s="36">
        <f>W240+W243+W255</f>
        <v>323152700</v>
      </c>
      <c r="X239" s="37">
        <f>W239/S239*100</f>
        <v>39.886511695419934</v>
      </c>
      <c r="Y239" s="36">
        <f>Y240+Y243+Y255</f>
        <v>41000000</v>
      </c>
      <c r="Z239" s="37">
        <f>Y239/W239*100</f>
        <v>12.687500367473334</v>
      </c>
      <c r="AA239" s="36">
        <f>AA240+AA243+AA255</f>
        <v>41500000</v>
      </c>
      <c r="AB239" s="37">
        <f>AA239/Y239*100</f>
        <v>101.21951219512195</v>
      </c>
      <c r="AC239" s="31">
        <f t="shared" si="142"/>
        <v>334463044.5</v>
      </c>
      <c r="AD239" s="31">
        <f t="shared" si="143"/>
        <v>42189000</v>
      </c>
      <c r="AE239" s="31">
        <f t="shared" si="144"/>
        <v>805294026.775</v>
      </c>
      <c r="AF239" s="31">
        <f t="shared" si="145"/>
        <v>846638518</v>
      </c>
      <c r="AI239" s="36">
        <f>AI240+AI243+AI255</f>
        <v>496263000</v>
      </c>
      <c r="AJ239" s="36">
        <f>AJ240+AJ243+AJ255</f>
        <v>773225200</v>
      </c>
      <c r="AK239" s="36">
        <f>AK240+AK243+AK255</f>
        <v>810180400</v>
      </c>
      <c r="AL239" s="36">
        <f t="shared" si="155"/>
        <v>276962200</v>
      </c>
      <c r="AM239" s="36">
        <f t="shared" si="156"/>
        <v>36955200</v>
      </c>
    </row>
    <row r="240" spans="1:39" s="40" customFormat="1" ht="12.75" customHeight="1">
      <c r="A240" s="39" t="s">
        <v>394</v>
      </c>
      <c r="C240" s="40" t="s">
        <v>395</v>
      </c>
      <c r="D240" s="31"/>
      <c r="E240" s="31">
        <f>SUM(E241:E242)</f>
        <v>1444044000</v>
      </c>
      <c r="F240" s="31"/>
      <c r="G240" s="31">
        <f>SUM(G241:G242)</f>
        <v>1425966000</v>
      </c>
      <c r="H240" s="31">
        <f>SUM(H241:H242)</f>
        <v>572917000</v>
      </c>
      <c r="I240" s="31">
        <f>SUM(I241:I242)</f>
        <v>570362400</v>
      </c>
      <c r="J240" s="31">
        <f>SUM(J241:J242)</f>
        <v>564001358</v>
      </c>
      <c r="K240" s="31">
        <f>SUM(K241:K242)</f>
        <v>441563000</v>
      </c>
      <c r="L240" s="41">
        <f t="shared" si="157"/>
        <v>78.29112354725926</v>
      </c>
      <c r="M240" s="31">
        <f>SUM(M241:M242)</f>
        <v>447910000</v>
      </c>
      <c r="N240" s="42">
        <f t="shared" si="140"/>
        <v>0.03307003092741468</v>
      </c>
      <c r="O240" s="31">
        <f>SUM(O241:O242)</f>
        <v>447910000</v>
      </c>
      <c r="P240" s="31"/>
      <c r="Q240" s="41">
        <f t="shared" si="158"/>
        <v>79.41647544756444</v>
      </c>
      <c r="R240" s="41">
        <f t="shared" si="159"/>
        <v>100</v>
      </c>
      <c r="S240" s="31">
        <f>SUM(S241:S242)</f>
        <v>441563000</v>
      </c>
      <c r="T240" s="42">
        <f t="shared" si="141"/>
        <v>0.030387750282561455</v>
      </c>
      <c r="U240" s="41">
        <f t="shared" si="160"/>
        <v>98.58297425822153</v>
      </c>
      <c r="V240" s="41">
        <f t="shared" si="161"/>
        <v>98.58297425822153</v>
      </c>
      <c r="W240" s="31">
        <f>SUM(W241:W242)</f>
        <v>0</v>
      </c>
      <c r="X240" s="41"/>
      <c r="Y240" s="31">
        <f>SUM(Y241:Y242)</f>
        <v>0</v>
      </c>
      <c r="Z240" s="41"/>
      <c r="AA240" s="31">
        <f>SUM(AA241:AA242)</f>
        <v>0</v>
      </c>
      <c r="AB240" s="41"/>
      <c r="AC240" s="31">
        <f t="shared" si="142"/>
        <v>0</v>
      </c>
      <c r="AD240" s="31">
        <f t="shared" si="143"/>
        <v>0</v>
      </c>
      <c r="AE240" s="31">
        <f t="shared" si="144"/>
        <v>473440870</v>
      </c>
      <c r="AF240" s="31">
        <f t="shared" si="145"/>
        <v>461433334.99999994</v>
      </c>
      <c r="AI240" s="31">
        <f>SUM(AI241:AI242)</f>
        <v>441563000</v>
      </c>
      <c r="AJ240" s="31">
        <f>SUM(AJ241:AJ242)</f>
        <v>441563000</v>
      </c>
      <c r="AK240" s="31">
        <f>SUM(AK241:AK242)</f>
        <v>441563000</v>
      </c>
      <c r="AL240" s="31">
        <f t="shared" si="155"/>
        <v>0</v>
      </c>
      <c r="AM240" s="31">
        <f t="shared" si="156"/>
        <v>0</v>
      </c>
    </row>
    <row r="241" spans="1:39" s="50" customFormat="1" ht="12.75" customHeight="1">
      <c r="A241" s="48" t="s">
        <v>396</v>
      </c>
      <c r="B241" s="49"/>
      <c r="C241" s="50" t="s">
        <v>397</v>
      </c>
      <c r="D241" s="51"/>
      <c r="E241" s="51">
        <v>18507000</v>
      </c>
      <c r="F241" s="51"/>
      <c r="G241" s="51">
        <v>98629000</v>
      </c>
      <c r="H241" s="51">
        <v>131354000</v>
      </c>
      <c r="I241" s="51">
        <v>128799400</v>
      </c>
      <c r="J241" s="51">
        <v>128799358</v>
      </c>
      <c r="K241" s="51"/>
      <c r="L241" s="52">
        <f t="shared" si="157"/>
        <v>0</v>
      </c>
      <c r="M241" s="51">
        <f>6361000-14000</f>
        <v>6347000</v>
      </c>
      <c r="N241" s="53">
        <f t="shared" si="140"/>
        <v>0.0004686108510555714</v>
      </c>
      <c r="O241" s="51">
        <f>6361000-14000</f>
        <v>6347000</v>
      </c>
      <c r="P241" s="51"/>
      <c r="Q241" s="52">
        <f t="shared" si="158"/>
        <v>4.927819593634931</v>
      </c>
      <c r="R241" s="52">
        <f t="shared" si="159"/>
        <v>100</v>
      </c>
      <c r="S241" s="51">
        <v>0</v>
      </c>
      <c r="T241" s="53">
        <f t="shared" si="141"/>
        <v>0</v>
      </c>
      <c r="U241" s="52">
        <f t="shared" si="160"/>
        <v>0</v>
      </c>
      <c r="V241" s="52">
        <f t="shared" si="161"/>
        <v>0</v>
      </c>
      <c r="W241" s="51">
        <v>0</v>
      </c>
      <c r="X241" s="52"/>
      <c r="Y241" s="51">
        <v>0</v>
      </c>
      <c r="Z241" s="52"/>
      <c r="AA241" s="51">
        <v>0</v>
      </c>
      <c r="AB241" s="52"/>
      <c r="AC241" s="31">
        <f t="shared" si="142"/>
        <v>0</v>
      </c>
      <c r="AD241" s="31">
        <f t="shared" si="143"/>
        <v>0</v>
      </c>
      <c r="AE241" s="31">
        <f t="shared" si="144"/>
        <v>6708779</v>
      </c>
      <c r="AF241" s="31">
        <f t="shared" si="145"/>
        <v>0</v>
      </c>
      <c r="AI241" s="51">
        <v>0</v>
      </c>
      <c r="AJ241" s="51">
        <v>0</v>
      </c>
      <c r="AK241" s="51">
        <v>0</v>
      </c>
      <c r="AL241" s="51">
        <f t="shared" si="155"/>
        <v>0</v>
      </c>
      <c r="AM241" s="51">
        <f t="shared" si="156"/>
        <v>0</v>
      </c>
    </row>
    <row r="242" spans="1:39" s="50" customFormat="1" ht="11.25">
      <c r="A242" s="48" t="s">
        <v>398</v>
      </c>
      <c r="B242" s="49"/>
      <c r="C242" s="50" t="s">
        <v>399</v>
      </c>
      <c r="D242" s="51"/>
      <c r="E242" s="51">
        <v>1425537000</v>
      </c>
      <c r="F242" s="51"/>
      <c r="G242" s="51">
        <v>1327337000</v>
      </c>
      <c r="H242" s="51">
        <v>441563000</v>
      </c>
      <c r="I242" s="51">
        <v>441563000</v>
      </c>
      <c r="J242" s="51">
        <v>435202000</v>
      </c>
      <c r="K242" s="51">
        <v>441563000</v>
      </c>
      <c r="L242" s="52">
        <f t="shared" si="157"/>
        <v>101.46162012123105</v>
      </c>
      <c r="M242" s="51">
        <v>441563000</v>
      </c>
      <c r="N242" s="53">
        <f t="shared" si="140"/>
        <v>0.03260142007635911</v>
      </c>
      <c r="O242" s="51">
        <v>441563000</v>
      </c>
      <c r="P242" s="51"/>
      <c r="Q242" s="52">
        <f t="shared" si="158"/>
        <v>101.46162012123105</v>
      </c>
      <c r="R242" s="52">
        <f t="shared" si="159"/>
        <v>100</v>
      </c>
      <c r="S242" s="56">
        <v>441563000</v>
      </c>
      <c r="T242" s="53">
        <f t="shared" si="141"/>
        <v>0.030387750282561455</v>
      </c>
      <c r="U242" s="52">
        <f t="shared" si="160"/>
        <v>100</v>
      </c>
      <c r="V242" s="52">
        <f t="shared" si="161"/>
        <v>100</v>
      </c>
      <c r="W242" s="51">
        <v>0</v>
      </c>
      <c r="X242" s="52"/>
      <c r="Y242" s="56"/>
      <c r="Z242" s="52"/>
      <c r="AA242" s="56"/>
      <c r="AB242" s="52"/>
      <c r="AC242" s="31">
        <f t="shared" si="142"/>
        <v>0</v>
      </c>
      <c r="AD242" s="31">
        <f t="shared" si="143"/>
        <v>0</v>
      </c>
      <c r="AE242" s="31">
        <f t="shared" si="144"/>
        <v>466732091</v>
      </c>
      <c r="AF242" s="31">
        <f t="shared" si="145"/>
        <v>461433334.99999994</v>
      </c>
      <c r="AI242" s="57">
        <v>441563000</v>
      </c>
      <c r="AJ242" s="57">
        <v>441563000</v>
      </c>
      <c r="AK242" s="57">
        <v>441563000</v>
      </c>
      <c r="AL242" s="57">
        <f t="shared" si="155"/>
        <v>0</v>
      </c>
      <c r="AM242" s="57">
        <f t="shared" si="156"/>
        <v>0</v>
      </c>
    </row>
    <row r="243" spans="1:39" s="40" customFormat="1" ht="12.75" customHeight="1">
      <c r="A243" s="39" t="s">
        <v>400</v>
      </c>
      <c r="C243" s="40" t="s">
        <v>401</v>
      </c>
      <c r="D243" s="31"/>
      <c r="E243" s="31">
        <f>SUM(E244:E254)</f>
        <v>150173946</v>
      </c>
      <c r="F243" s="31"/>
      <c r="G243" s="31">
        <f>SUM(G244:G254)</f>
        <v>235061842.75</v>
      </c>
      <c r="H243" s="31">
        <f>SUM(H244:H254)</f>
        <v>110333000</v>
      </c>
      <c r="I243" s="31">
        <f>SUM(I244:I254)</f>
        <v>198182000</v>
      </c>
      <c r="J243" s="31">
        <f>SUM(J244:J254)</f>
        <v>77737443</v>
      </c>
      <c r="K243" s="31">
        <f>SUM(K244:K254)</f>
        <v>210215000</v>
      </c>
      <c r="L243" s="41">
        <f t="shared" si="157"/>
        <v>270.416663949186</v>
      </c>
      <c r="M243" s="31">
        <f>SUM(M244:M254)</f>
        <v>259771000</v>
      </c>
      <c r="N243" s="42">
        <f t="shared" si="140"/>
        <v>0.019179377562558192</v>
      </c>
      <c r="O243" s="31">
        <f>SUM(O244:O254)</f>
        <v>264791000</v>
      </c>
      <c r="P243" s="31"/>
      <c r="Q243" s="41">
        <f t="shared" si="158"/>
        <v>340.6222147028942</v>
      </c>
      <c r="R243" s="41">
        <f t="shared" si="159"/>
        <v>101.93247129202258</v>
      </c>
      <c r="S243" s="31">
        <f>SUM(S244:S254)</f>
        <v>187317400</v>
      </c>
      <c r="T243" s="42">
        <f t="shared" si="141"/>
        <v>0.012890922416005592</v>
      </c>
      <c r="U243" s="41">
        <f t="shared" si="160"/>
        <v>72.10866493950441</v>
      </c>
      <c r="V243" s="41">
        <f t="shared" si="161"/>
        <v>70.74160375541464</v>
      </c>
      <c r="W243" s="31">
        <f>SUM(W244:W254)</f>
        <v>148652700</v>
      </c>
      <c r="X243" s="41">
        <f>W243/S243*100</f>
        <v>79.35872481680826</v>
      </c>
      <c r="Y243" s="31">
        <f>SUM(Y244:Y254)</f>
        <v>14000000</v>
      </c>
      <c r="Z243" s="41">
        <f>Y243/W243*100</f>
        <v>9.417925136913087</v>
      </c>
      <c r="AA243" s="31">
        <f>SUM(AA244:AA254)</f>
        <v>14000000</v>
      </c>
      <c r="AB243" s="41">
        <f>AA243/Y243*100</f>
        <v>100</v>
      </c>
      <c r="AC243" s="31">
        <f t="shared" si="142"/>
        <v>153855544.5</v>
      </c>
      <c r="AD243" s="31">
        <f t="shared" si="143"/>
        <v>14405999.999999998</v>
      </c>
      <c r="AE243" s="31">
        <f t="shared" si="144"/>
        <v>274577947</v>
      </c>
      <c r="AF243" s="31">
        <f t="shared" si="145"/>
        <v>195746683</v>
      </c>
      <c r="AI243" s="31">
        <f>SUM(AI244:AI254)</f>
        <v>24000000</v>
      </c>
      <c r="AJ243" s="31">
        <f>SUM(AJ244:AJ254)</f>
        <v>149862200</v>
      </c>
      <c r="AK243" s="31">
        <f>SUM(AK244:AK254)</f>
        <v>187317400</v>
      </c>
      <c r="AL243" s="31">
        <f t="shared" si="155"/>
        <v>125862200</v>
      </c>
      <c r="AM243" s="31">
        <f t="shared" si="156"/>
        <v>37455200</v>
      </c>
    </row>
    <row r="244" spans="1:39" s="50" customFormat="1" ht="12.75" customHeight="1">
      <c r="A244" s="48" t="s">
        <v>402</v>
      </c>
      <c r="B244" s="49"/>
      <c r="C244" s="50" t="s">
        <v>403</v>
      </c>
      <c r="D244" s="51"/>
      <c r="E244" s="51">
        <v>35000000</v>
      </c>
      <c r="F244" s="51"/>
      <c r="G244" s="51">
        <v>30000000</v>
      </c>
      <c r="H244" s="51">
        <v>30000000</v>
      </c>
      <c r="I244" s="51">
        <v>30000000</v>
      </c>
      <c r="J244" s="51">
        <v>2500000</v>
      </c>
      <c r="K244" s="51">
        <v>20000000</v>
      </c>
      <c r="L244" s="52">
        <f t="shared" si="157"/>
        <v>800</v>
      </c>
      <c r="M244" s="51">
        <f>20000000-10000000</f>
        <v>10000000</v>
      </c>
      <c r="N244" s="53">
        <f t="shared" si="140"/>
        <v>0.0007383186561455355</v>
      </c>
      <c r="O244" s="51">
        <f>20000000-10000000+20000000</f>
        <v>30000000</v>
      </c>
      <c r="P244" s="51"/>
      <c r="Q244" s="52">
        <f t="shared" si="158"/>
        <v>1200</v>
      </c>
      <c r="R244" s="52">
        <f t="shared" si="159"/>
        <v>300</v>
      </c>
      <c r="S244" s="51"/>
      <c r="T244" s="53">
        <f t="shared" si="141"/>
        <v>0</v>
      </c>
      <c r="U244" s="52">
        <f t="shared" si="160"/>
        <v>0</v>
      </c>
      <c r="V244" s="52">
        <f t="shared" si="161"/>
        <v>0</v>
      </c>
      <c r="W244" s="51"/>
      <c r="X244" s="52"/>
      <c r="Y244" s="51"/>
      <c r="Z244" s="52"/>
      <c r="AA244" s="51"/>
      <c r="AB244" s="52"/>
      <c r="AC244" s="31">
        <f t="shared" si="142"/>
        <v>0</v>
      </c>
      <c r="AD244" s="31">
        <f t="shared" si="143"/>
        <v>0</v>
      </c>
      <c r="AE244" s="31">
        <f t="shared" si="144"/>
        <v>10570000</v>
      </c>
      <c r="AF244" s="31">
        <f t="shared" si="145"/>
        <v>0</v>
      </c>
      <c r="AI244" s="51"/>
      <c r="AJ244" s="51"/>
      <c r="AK244" s="51"/>
      <c r="AL244" s="51">
        <f t="shared" si="155"/>
        <v>0</v>
      </c>
      <c r="AM244" s="51">
        <f t="shared" si="156"/>
        <v>0</v>
      </c>
    </row>
    <row r="245" spans="1:39" s="50" customFormat="1" ht="11.25">
      <c r="A245" s="48" t="s">
        <v>404</v>
      </c>
      <c r="B245" s="49"/>
      <c r="C245" s="50" t="s">
        <v>405</v>
      </c>
      <c r="D245" s="51"/>
      <c r="E245" s="51">
        <v>70000000</v>
      </c>
      <c r="F245" s="51"/>
      <c r="G245" s="51">
        <v>74647000</v>
      </c>
      <c r="H245" s="51">
        <v>21300000</v>
      </c>
      <c r="I245" s="51">
        <v>21300000</v>
      </c>
      <c r="J245" s="51">
        <v>21300000</v>
      </c>
      <c r="K245" s="51">
        <f>59500000+35500000</f>
        <v>95000000</v>
      </c>
      <c r="L245" s="52">
        <f t="shared" si="157"/>
        <v>446.0093896713615</v>
      </c>
      <c r="M245" s="51">
        <f>42000000+15000000</f>
        <v>57000000</v>
      </c>
      <c r="N245" s="53">
        <f t="shared" si="140"/>
        <v>0.004208416340029553</v>
      </c>
      <c r="O245" s="51">
        <f>42000000+15000000+5000000</f>
        <v>62000000</v>
      </c>
      <c r="P245" s="51"/>
      <c r="Q245" s="52">
        <f t="shared" si="158"/>
        <v>291.07981220657274</v>
      </c>
      <c r="R245" s="52">
        <f t="shared" si="159"/>
        <v>108.77192982456141</v>
      </c>
      <c r="S245" s="51">
        <v>13362200</v>
      </c>
      <c r="T245" s="53">
        <f t="shared" si="141"/>
        <v>0.0009195679819768474</v>
      </c>
      <c r="U245" s="52">
        <f t="shared" si="160"/>
        <v>23.442456140350878</v>
      </c>
      <c r="V245" s="52">
        <f t="shared" si="161"/>
        <v>21.551935483870967</v>
      </c>
      <c r="W245" s="51">
        <v>33619100</v>
      </c>
      <c r="X245" s="52">
        <f>W245/S245*100</f>
        <v>251.59853916271274</v>
      </c>
      <c r="Y245" s="51"/>
      <c r="Z245" s="52"/>
      <c r="AA245" s="51"/>
      <c r="AB245" s="52"/>
      <c r="AC245" s="31">
        <f t="shared" si="142"/>
        <v>34795768.5</v>
      </c>
      <c r="AD245" s="31">
        <f t="shared" si="143"/>
        <v>0</v>
      </c>
      <c r="AE245" s="31">
        <f t="shared" si="144"/>
        <v>60249000</v>
      </c>
      <c r="AF245" s="31">
        <f t="shared" si="145"/>
        <v>13963498.999999998</v>
      </c>
      <c r="AI245" s="51"/>
      <c r="AJ245" s="51">
        <v>13362200</v>
      </c>
      <c r="AK245" s="51">
        <v>13362200</v>
      </c>
      <c r="AL245" s="51">
        <f t="shared" si="155"/>
        <v>13362200</v>
      </c>
      <c r="AM245" s="51">
        <f t="shared" si="156"/>
        <v>0</v>
      </c>
    </row>
    <row r="246" spans="1:39" s="50" customFormat="1" ht="11.25">
      <c r="A246" s="48" t="s">
        <v>406</v>
      </c>
      <c r="B246" s="49"/>
      <c r="C246" s="50" t="s">
        <v>407</v>
      </c>
      <c r="D246" s="51"/>
      <c r="E246" s="51">
        <v>9000000</v>
      </c>
      <c r="F246" s="51"/>
      <c r="G246" s="51">
        <v>11600000</v>
      </c>
      <c r="H246" s="51">
        <v>16000000</v>
      </c>
      <c r="I246" s="51">
        <v>16000000</v>
      </c>
      <c r="J246" s="51">
        <v>13337000</v>
      </c>
      <c r="K246" s="51">
        <f>22000000-22000000</f>
        <v>0</v>
      </c>
      <c r="L246" s="52">
        <f t="shared" si="157"/>
        <v>0</v>
      </c>
      <c r="M246" s="51">
        <v>4000000</v>
      </c>
      <c r="N246" s="53">
        <f t="shared" si="140"/>
        <v>0.0002953274624582142</v>
      </c>
      <c r="O246" s="51">
        <v>0</v>
      </c>
      <c r="P246" s="51"/>
      <c r="Q246" s="52">
        <f t="shared" si="158"/>
        <v>0</v>
      </c>
      <c r="R246" s="52">
        <f t="shared" si="159"/>
        <v>0</v>
      </c>
      <c r="S246" s="51"/>
      <c r="T246" s="53">
        <f t="shared" si="141"/>
        <v>0</v>
      </c>
      <c r="U246" s="52">
        <f t="shared" si="160"/>
        <v>0</v>
      </c>
      <c r="V246" s="52"/>
      <c r="W246" s="51">
        <v>19533600</v>
      </c>
      <c r="X246" s="52"/>
      <c r="Y246" s="51"/>
      <c r="Z246" s="52"/>
      <c r="AA246" s="51"/>
      <c r="AB246" s="52"/>
      <c r="AC246" s="31">
        <f t="shared" si="142"/>
        <v>20217276</v>
      </c>
      <c r="AD246" s="31">
        <f t="shared" si="143"/>
        <v>0</v>
      </c>
      <c r="AE246" s="31">
        <f t="shared" si="144"/>
        <v>4228000</v>
      </c>
      <c r="AF246" s="31">
        <f t="shared" si="145"/>
        <v>0</v>
      </c>
      <c r="AI246" s="51"/>
      <c r="AJ246" s="51"/>
      <c r="AK246" s="51"/>
      <c r="AL246" s="51">
        <f t="shared" si="155"/>
        <v>0</v>
      </c>
      <c r="AM246" s="51">
        <f t="shared" si="156"/>
        <v>0</v>
      </c>
    </row>
    <row r="247" spans="1:39" s="50" customFormat="1" ht="11.25">
      <c r="A247" s="48" t="s">
        <v>408</v>
      </c>
      <c r="B247" s="49"/>
      <c r="C247" s="50" t="s">
        <v>409</v>
      </c>
      <c r="D247" s="51"/>
      <c r="E247" s="51">
        <v>7000000</v>
      </c>
      <c r="F247" s="51"/>
      <c r="G247" s="51">
        <v>3500000</v>
      </c>
      <c r="H247" s="51"/>
      <c r="I247" s="51"/>
      <c r="J247" s="51"/>
      <c r="K247" s="51">
        <f>42000000-42000000+33215000</f>
        <v>33215000</v>
      </c>
      <c r="L247" s="41"/>
      <c r="M247" s="51">
        <f>42000000-42000000+33215000-10457500</f>
        <v>22757500</v>
      </c>
      <c r="N247" s="53">
        <f t="shared" si="140"/>
        <v>0.0016802286817232026</v>
      </c>
      <c r="O247" s="51">
        <f>42000000-42000000+33215000-10457500</f>
        <v>22757500</v>
      </c>
      <c r="P247" s="51"/>
      <c r="Q247" s="41"/>
      <c r="R247" s="52">
        <f t="shared" si="159"/>
        <v>100</v>
      </c>
      <c r="S247" s="51">
        <v>22955200</v>
      </c>
      <c r="T247" s="53">
        <f t="shared" si="141"/>
        <v>0.001579744872840919</v>
      </c>
      <c r="U247" s="41">
        <f t="shared" si="160"/>
        <v>100.86872459628692</v>
      </c>
      <c r="V247" s="41">
        <f>S247/O247*100</f>
        <v>100.86872459628692</v>
      </c>
      <c r="W247" s="51">
        <v>0</v>
      </c>
      <c r="X247" s="52"/>
      <c r="Y247" s="51"/>
      <c r="Z247" s="41"/>
      <c r="AA247" s="51"/>
      <c r="AB247" s="41"/>
      <c r="AC247" s="31">
        <f t="shared" si="142"/>
        <v>0</v>
      </c>
      <c r="AD247" s="31">
        <f t="shared" si="143"/>
        <v>0</v>
      </c>
      <c r="AE247" s="31">
        <f t="shared" si="144"/>
        <v>24054677.5</v>
      </c>
      <c r="AF247" s="31">
        <f t="shared" si="145"/>
        <v>23988184</v>
      </c>
      <c r="AI247" s="51"/>
      <c r="AJ247" s="51"/>
      <c r="AK247" s="51">
        <v>22955200</v>
      </c>
      <c r="AL247" s="51">
        <f t="shared" si="155"/>
        <v>0</v>
      </c>
      <c r="AM247" s="51">
        <f t="shared" si="156"/>
        <v>22955200</v>
      </c>
    </row>
    <row r="248" spans="1:39" s="50" customFormat="1" ht="11.25" hidden="1">
      <c r="A248" s="48" t="s">
        <v>410</v>
      </c>
      <c r="B248" s="49"/>
      <c r="C248" s="50" t="s">
        <v>411</v>
      </c>
      <c r="D248" s="51"/>
      <c r="E248" s="51">
        <v>21130000</v>
      </c>
      <c r="F248" s="51"/>
      <c r="G248" s="51"/>
      <c r="H248" s="51"/>
      <c r="I248" s="51"/>
      <c r="J248" s="51"/>
      <c r="K248" s="51"/>
      <c r="L248" s="41"/>
      <c r="M248" s="51"/>
      <c r="N248" s="53">
        <f t="shared" si="140"/>
        <v>0</v>
      </c>
      <c r="O248" s="51"/>
      <c r="P248" s="51"/>
      <c r="Q248" s="41"/>
      <c r="R248" s="52"/>
      <c r="S248" s="51"/>
      <c r="T248" s="53">
        <f t="shared" si="141"/>
        <v>0</v>
      </c>
      <c r="U248" s="41"/>
      <c r="V248" s="41"/>
      <c r="W248" s="51"/>
      <c r="X248" s="52"/>
      <c r="Y248" s="51"/>
      <c r="Z248" s="41"/>
      <c r="AA248" s="51"/>
      <c r="AB248" s="41"/>
      <c r="AC248" s="31">
        <f t="shared" si="142"/>
        <v>0</v>
      </c>
      <c r="AD248" s="31">
        <f t="shared" si="143"/>
        <v>0</v>
      </c>
      <c r="AE248" s="31">
        <f t="shared" si="144"/>
        <v>0</v>
      </c>
      <c r="AF248" s="31">
        <f t="shared" si="145"/>
        <v>0</v>
      </c>
      <c r="AI248" s="51"/>
      <c r="AJ248" s="51"/>
      <c r="AK248" s="51"/>
      <c r="AL248" s="51">
        <f t="shared" si="155"/>
        <v>0</v>
      </c>
      <c r="AM248" s="51">
        <f t="shared" si="156"/>
        <v>0</v>
      </c>
    </row>
    <row r="249" spans="1:39" s="50" customFormat="1" ht="11.25">
      <c r="A249" s="48" t="s">
        <v>412</v>
      </c>
      <c r="B249" s="49"/>
      <c r="C249" s="50" t="s">
        <v>413</v>
      </c>
      <c r="D249" s="51"/>
      <c r="E249" s="51"/>
      <c r="F249" s="51"/>
      <c r="G249" s="51">
        <v>49588773.75</v>
      </c>
      <c r="H249" s="51">
        <v>16000000</v>
      </c>
      <c r="I249" s="51">
        <v>16000000</v>
      </c>
      <c r="J249" s="51"/>
      <c r="K249" s="51"/>
      <c r="L249" s="52"/>
      <c r="M249" s="51">
        <v>16000000</v>
      </c>
      <c r="N249" s="53">
        <f aca="true" t="shared" si="162" ref="N249:N265">M249/$M$9</f>
        <v>0.0011813098498328568</v>
      </c>
      <c r="O249" s="51"/>
      <c r="P249" s="51"/>
      <c r="Q249" s="52"/>
      <c r="R249" s="52">
        <f>O249/M249*100</f>
        <v>0</v>
      </c>
      <c r="S249" s="51">
        <f>16000000+15000000</f>
        <v>31000000</v>
      </c>
      <c r="T249" s="53">
        <f aca="true" t="shared" si="163" ref="T249:T265">S249/$S$9</f>
        <v>0.002133376797329951</v>
      </c>
      <c r="U249" s="52">
        <f>S249/M249*100</f>
        <v>193.75</v>
      </c>
      <c r="V249" s="52"/>
      <c r="W249" s="51"/>
      <c r="X249" s="52"/>
      <c r="Y249" s="51"/>
      <c r="Z249" s="52"/>
      <c r="AA249" s="51"/>
      <c r="AB249" s="52"/>
      <c r="AC249" s="31">
        <f aca="true" t="shared" si="164" ref="AC249:AC281">W249*1.035</f>
        <v>0</v>
      </c>
      <c r="AD249" s="31">
        <f aca="true" t="shared" si="165" ref="AD249:AD281">Y249*1.029</f>
        <v>0</v>
      </c>
      <c r="AE249" s="31">
        <f t="shared" si="144"/>
        <v>16912000</v>
      </c>
      <c r="AF249" s="31">
        <f t="shared" si="145"/>
        <v>32394999.999999996</v>
      </c>
      <c r="AI249" s="51"/>
      <c r="AJ249" s="51">
        <f>16000000+15000000</f>
        <v>31000000</v>
      </c>
      <c r="AK249" s="51">
        <f>16000000+15000000</f>
        <v>31000000</v>
      </c>
      <c r="AL249" s="51">
        <f t="shared" si="155"/>
        <v>31000000</v>
      </c>
      <c r="AM249" s="51">
        <f t="shared" si="156"/>
        <v>0</v>
      </c>
    </row>
    <row r="250" spans="1:39" s="50" customFormat="1" ht="11.25">
      <c r="A250" s="48" t="s">
        <v>414</v>
      </c>
      <c r="B250" s="49"/>
      <c r="C250" s="50" t="s">
        <v>415</v>
      </c>
      <c r="D250" s="51"/>
      <c r="E250" s="51"/>
      <c r="F250" s="51"/>
      <c r="G250" s="51"/>
      <c r="H250" s="51">
        <v>13353000</v>
      </c>
      <c r="I250" s="51"/>
      <c r="J250" s="51"/>
      <c r="K250" s="51"/>
      <c r="L250" s="52"/>
      <c r="M250" s="51"/>
      <c r="N250" s="53">
        <f t="shared" si="162"/>
        <v>0</v>
      </c>
      <c r="O250" s="51"/>
      <c r="P250" s="51"/>
      <c r="Q250" s="52"/>
      <c r="R250" s="52"/>
      <c r="S250" s="51">
        <v>81500000</v>
      </c>
      <c r="T250" s="53">
        <f t="shared" si="163"/>
        <v>0.005608716418786806</v>
      </c>
      <c r="U250" s="52"/>
      <c r="V250" s="52"/>
      <c r="W250" s="51">
        <v>81500000</v>
      </c>
      <c r="X250" s="52">
        <f>W250/S250*100</f>
        <v>100</v>
      </c>
      <c r="Y250" s="51"/>
      <c r="Z250" s="52"/>
      <c r="AA250" s="51"/>
      <c r="AB250" s="52"/>
      <c r="AC250" s="31">
        <f t="shared" si="164"/>
        <v>84352500</v>
      </c>
      <c r="AD250" s="31">
        <f t="shared" si="165"/>
        <v>0</v>
      </c>
      <c r="AE250" s="31">
        <f t="shared" si="144"/>
        <v>0</v>
      </c>
      <c r="AF250" s="31">
        <f t="shared" si="145"/>
        <v>85167500</v>
      </c>
      <c r="AI250" s="51"/>
      <c r="AJ250" s="51">
        <v>81500000</v>
      </c>
      <c r="AK250" s="51">
        <v>81500000</v>
      </c>
      <c r="AL250" s="51">
        <f t="shared" si="155"/>
        <v>81500000</v>
      </c>
      <c r="AM250" s="51">
        <f t="shared" si="156"/>
        <v>0</v>
      </c>
    </row>
    <row r="251" spans="1:39" s="50" customFormat="1" ht="11.25">
      <c r="A251" s="48" t="s">
        <v>416</v>
      </c>
      <c r="B251" s="49"/>
      <c r="C251" s="50" t="s">
        <v>417</v>
      </c>
      <c r="D251" s="51"/>
      <c r="E251" s="51">
        <v>8043946</v>
      </c>
      <c r="F251" s="51"/>
      <c r="G251" s="51">
        <v>1544405</v>
      </c>
      <c r="H251" s="51">
        <v>10000000</v>
      </c>
      <c r="I251" s="51">
        <f>10000000+101202000</f>
        <v>111202000</v>
      </c>
      <c r="J251" s="51">
        <f>35921250+1000000</f>
        <v>36921250</v>
      </c>
      <c r="K251" s="51">
        <f>12000000</f>
        <v>12000000</v>
      </c>
      <c r="L251" s="52">
        <f>K251/J251*100</f>
        <v>32.50160815248671</v>
      </c>
      <c r="M251" s="51">
        <f>12000000+130000000</f>
        <v>142000000</v>
      </c>
      <c r="N251" s="53">
        <f t="shared" si="162"/>
        <v>0.010484124917266606</v>
      </c>
      <c r="O251" s="51">
        <f>12000000+114000000-10000000+25000000</f>
        <v>141000000</v>
      </c>
      <c r="P251" s="51"/>
      <c r="Q251" s="52">
        <f>O251/J251*100</f>
        <v>381.8938957917188</v>
      </c>
      <c r="R251" s="52">
        <f>O251/M251*100</f>
        <v>99.29577464788733</v>
      </c>
      <c r="S251" s="51">
        <f>22000000+14500000</f>
        <v>36500000</v>
      </c>
      <c r="T251" s="53">
        <f t="shared" si="163"/>
        <v>0.0025118791323401036</v>
      </c>
      <c r="U251" s="52">
        <f>S251/M251*100</f>
        <v>25.704225352112676</v>
      </c>
      <c r="V251" s="52">
        <f>S251/O251*100</f>
        <v>25.886524822695034</v>
      </c>
      <c r="W251" s="51">
        <v>14000000</v>
      </c>
      <c r="X251" s="52">
        <f>W251/S251*100</f>
        <v>38.35616438356164</v>
      </c>
      <c r="Y251" s="51">
        <v>14000000</v>
      </c>
      <c r="Z251" s="52">
        <f>Y251/W251*100</f>
        <v>100</v>
      </c>
      <c r="AA251" s="51">
        <v>14000000</v>
      </c>
      <c r="AB251" s="52">
        <f>AA251/Y251*100</f>
        <v>100</v>
      </c>
      <c r="AC251" s="31">
        <f t="shared" si="164"/>
        <v>14489999.999999998</v>
      </c>
      <c r="AD251" s="31">
        <f t="shared" si="165"/>
        <v>14405999.999999998</v>
      </c>
      <c r="AE251" s="31">
        <f t="shared" si="144"/>
        <v>150094000</v>
      </c>
      <c r="AF251" s="31">
        <f t="shared" si="145"/>
        <v>38142500</v>
      </c>
      <c r="AI251" s="51">
        <v>22000000</v>
      </c>
      <c r="AJ251" s="51">
        <v>22000000</v>
      </c>
      <c r="AK251" s="51">
        <f>22000000+14500000</f>
        <v>36500000</v>
      </c>
      <c r="AL251" s="51">
        <f t="shared" si="155"/>
        <v>0</v>
      </c>
      <c r="AM251" s="51">
        <f t="shared" si="156"/>
        <v>14500000</v>
      </c>
    </row>
    <row r="252" spans="1:39" s="50" customFormat="1" ht="11.25">
      <c r="A252" s="48" t="s">
        <v>418</v>
      </c>
      <c r="B252" s="49"/>
      <c r="C252" s="50" t="s">
        <v>419</v>
      </c>
      <c r="D252" s="51"/>
      <c r="E252" s="51"/>
      <c r="F252" s="51"/>
      <c r="G252" s="51"/>
      <c r="H252" s="51">
        <v>3680000</v>
      </c>
      <c r="I252" s="51">
        <v>3680000</v>
      </c>
      <c r="J252" s="51">
        <v>3679193</v>
      </c>
      <c r="K252" s="51"/>
      <c r="L252" s="52">
        <f>K252/J252*100</f>
        <v>0</v>
      </c>
      <c r="M252" s="51"/>
      <c r="N252" s="53">
        <f t="shared" si="162"/>
        <v>0</v>
      </c>
      <c r="O252" s="51">
        <v>1020000</v>
      </c>
      <c r="P252" s="51"/>
      <c r="Q252" s="52"/>
      <c r="R252" s="52"/>
      <c r="S252" s="51"/>
      <c r="T252" s="53">
        <f t="shared" si="163"/>
        <v>0</v>
      </c>
      <c r="U252" s="52"/>
      <c r="V252" s="52"/>
      <c r="W252" s="51"/>
      <c r="X252" s="52"/>
      <c r="Y252" s="51"/>
      <c r="Z252" s="52"/>
      <c r="AA252" s="51"/>
      <c r="AB252" s="52"/>
      <c r="AC252" s="31">
        <f t="shared" si="164"/>
        <v>0</v>
      </c>
      <c r="AD252" s="31">
        <f t="shared" si="165"/>
        <v>0</v>
      </c>
      <c r="AE252" s="31">
        <f t="shared" si="144"/>
        <v>0</v>
      </c>
      <c r="AF252" s="31">
        <f t="shared" si="145"/>
        <v>0</v>
      </c>
      <c r="AI252" s="51"/>
      <c r="AJ252" s="51"/>
      <c r="AK252" s="51"/>
      <c r="AL252" s="51">
        <f t="shared" si="155"/>
        <v>0</v>
      </c>
      <c r="AM252" s="51">
        <f t="shared" si="156"/>
        <v>0</v>
      </c>
    </row>
    <row r="253" spans="1:39" s="50" customFormat="1" ht="11.25">
      <c r="A253" s="48" t="s">
        <v>420</v>
      </c>
      <c r="B253" s="49"/>
      <c r="C253" s="50" t="s">
        <v>421</v>
      </c>
      <c r="D253" s="51"/>
      <c r="E253" s="51"/>
      <c r="F253" s="51"/>
      <c r="G253" s="51"/>
      <c r="H253" s="51"/>
      <c r="I253" s="51"/>
      <c r="J253" s="51"/>
      <c r="K253" s="51">
        <v>50000000</v>
      </c>
      <c r="L253" s="52"/>
      <c r="M253" s="51"/>
      <c r="N253" s="53">
        <f t="shared" si="162"/>
        <v>0</v>
      </c>
      <c r="O253" s="51"/>
      <c r="P253" s="51"/>
      <c r="Q253" s="52"/>
      <c r="R253" s="52"/>
      <c r="S253" s="51"/>
      <c r="T253" s="53">
        <f t="shared" si="163"/>
        <v>0</v>
      </c>
      <c r="U253" s="52"/>
      <c r="V253" s="52"/>
      <c r="W253" s="51"/>
      <c r="X253" s="52"/>
      <c r="Y253" s="51"/>
      <c r="Z253" s="52"/>
      <c r="AA253" s="51"/>
      <c r="AB253" s="52"/>
      <c r="AC253" s="31">
        <f t="shared" si="164"/>
        <v>0</v>
      </c>
      <c r="AD253" s="31">
        <f t="shared" si="165"/>
        <v>0</v>
      </c>
      <c r="AE253" s="31">
        <f t="shared" si="144"/>
        <v>0</v>
      </c>
      <c r="AF253" s="31">
        <f t="shared" si="145"/>
        <v>0</v>
      </c>
      <c r="AI253" s="51"/>
      <c r="AJ253" s="51"/>
      <c r="AK253" s="51"/>
      <c r="AL253" s="51">
        <f t="shared" si="155"/>
        <v>0</v>
      </c>
      <c r="AM253" s="51">
        <f t="shared" si="156"/>
        <v>0</v>
      </c>
    </row>
    <row r="254" spans="1:39" s="50" customFormat="1" ht="11.25">
      <c r="A254" s="48" t="s">
        <v>422</v>
      </c>
      <c r="B254" s="49"/>
      <c r="C254" s="50" t="s">
        <v>423</v>
      </c>
      <c r="D254" s="51"/>
      <c r="E254" s="51"/>
      <c r="F254" s="51"/>
      <c r="G254" s="51">
        <f>14661123+2551800+1020000+1400000+44548741</f>
        <v>64181664</v>
      </c>
      <c r="H254" s="51"/>
      <c r="I254" s="51"/>
      <c r="J254" s="51"/>
      <c r="K254" s="51"/>
      <c r="L254" s="41"/>
      <c r="M254" s="51">
        <v>8013500</v>
      </c>
      <c r="N254" s="53">
        <f t="shared" si="162"/>
        <v>0.0005916516551022249</v>
      </c>
      <c r="O254" s="51">
        <v>8013500</v>
      </c>
      <c r="P254" s="51"/>
      <c r="Q254" s="41"/>
      <c r="R254" s="52">
        <f>O254/M254*100</f>
        <v>100</v>
      </c>
      <c r="S254" s="51">
        <v>2000000</v>
      </c>
      <c r="T254" s="53">
        <f t="shared" si="163"/>
        <v>0.00013763721273096457</v>
      </c>
      <c r="U254" s="41">
        <f>S254/M254*100</f>
        <v>24.95788357147314</v>
      </c>
      <c r="V254" s="41">
        <f>S254/O254*100</f>
        <v>24.95788357147314</v>
      </c>
      <c r="W254" s="51">
        <v>0</v>
      </c>
      <c r="X254" s="41"/>
      <c r="Y254" s="51"/>
      <c r="Z254" s="41"/>
      <c r="AA254" s="51"/>
      <c r="AB254" s="41"/>
      <c r="AC254" s="31">
        <f t="shared" si="164"/>
        <v>0</v>
      </c>
      <c r="AD254" s="31">
        <f t="shared" si="165"/>
        <v>0</v>
      </c>
      <c r="AE254" s="31">
        <f t="shared" si="144"/>
        <v>8470269.5</v>
      </c>
      <c r="AF254" s="31">
        <f t="shared" si="145"/>
        <v>2089999.9999999998</v>
      </c>
      <c r="AI254" s="51">
        <v>2000000</v>
      </c>
      <c r="AJ254" s="51">
        <v>2000000</v>
      </c>
      <c r="AK254" s="51">
        <v>2000000</v>
      </c>
      <c r="AL254" s="51">
        <f t="shared" si="155"/>
        <v>0</v>
      </c>
      <c r="AM254" s="51">
        <f t="shared" si="156"/>
        <v>0</v>
      </c>
    </row>
    <row r="255" spans="1:39" s="40" customFormat="1" ht="12.75" customHeight="1">
      <c r="A255" s="39" t="s">
        <v>424</v>
      </c>
      <c r="C255" s="40" t="s">
        <v>425</v>
      </c>
      <c r="D255" s="31"/>
      <c r="E255" s="31">
        <f>SUM(E256:E264)</f>
        <v>15781433</v>
      </c>
      <c r="F255" s="31"/>
      <c r="G255" s="31">
        <f>SUM(G256:G264)</f>
        <v>29246030</v>
      </c>
      <c r="H255" s="31">
        <f>SUM(H256:H264)</f>
        <v>19763980</v>
      </c>
      <c r="I255" s="31">
        <f>SUM(I256:I264)</f>
        <v>29746880</v>
      </c>
      <c r="J255" s="31">
        <f>SUM(J256:J264)</f>
        <v>21660507.25</v>
      </c>
      <c r="K255" s="31">
        <f>SUM(K256:K264)</f>
        <v>23700000</v>
      </c>
      <c r="L255" s="41">
        <f>K255/J255*100</f>
        <v>109.41572016971118</v>
      </c>
      <c r="M255" s="31">
        <f>SUM(M256:M267)</f>
        <v>54186575</v>
      </c>
      <c r="N255" s="42">
        <f t="shared" si="162"/>
        <v>0.004000695923512927</v>
      </c>
      <c r="O255" s="31">
        <f>SUM(O256:O267)</f>
        <v>54186575</v>
      </c>
      <c r="P255" s="31"/>
      <c r="Q255" s="41">
        <f>O255/J255*100</f>
        <v>250.16300114578343</v>
      </c>
      <c r="R255" s="41">
        <f>O255/M255*100</f>
        <v>100</v>
      </c>
      <c r="S255" s="31">
        <f>SUM(S256:S267)</f>
        <v>181300000</v>
      </c>
      <c r="T255" s="42">
        <f t="shared" si="163"/>
        <v>0.01247681333406194</v>
      </c>
      <c r="U255" s="41">
        <f>S255/M255*100</f>
        <v>334.5847195546129</v>
      </c>
      <c r="V255" s="41">
        <f>S255/O255*100</f>
        <v>334.5847195546129</v>
      </c>
      <c r="W255" s="31">
        <f>SUM(W256:W267)</f>
        <v>174500000</v>
      </c>
      <c r="X255" s="41">
        <f>W255/S255*100</f>
        <v>96.24931053502482</v>
      </c>
      <c r="Y255" s="31">
        <f>SUM(Y256:Y267)</f>
        <v>27000000</v>
      </c>
      <c r="Z255" s="41">
        <f>Y255/W255*100</f>
        <v>15.472779369627506</v>
      </c>
      <c r="AA255" s="31">
        <f>SUM(AA256:AA267)</f>
        <v>27500000</v>
      </c>
      <c r="AB255" s="41">
        <f>AA255/Y255*100</f>
        <v>101.85185185185186</v>
      </c>
      <c r="AC255" s="31">
        <f t="shared" si="164"/>
        <v>180607500</v>
      </c>
      <c r="AD255" s="31">
        <f t="shared" si="165"/>
        <v>27782999.999999996</v>
      </c>
      <c r="AE255" s="31">
        <f t="shared" si="144"/>
        <v>57275209.775</v>
      </c>
      <c r="AF255" s="31">
        <f t="shared" si="145"/>
        <v>189458500</v>
      </c>
      <c r="AI255" s="31">
        <f>SUM(AI256:AI267)</f>
        <v>30700000</v>
      </c>
      <c r="AJ255" s="31">
        <f>SUM(AJ256:AJ267)</f>
        <v>181800000</v>
      </c>
      <c r="AK255" s="31">
        <f>SUM(AK256:AK267)</f>
        <v>181300000</v>
      </c>
      <c r="AL255" s="31">
        <f t="shared" si="155"/>
        <v>151100000</v>
      </c>
      <c r="AM255" s="31">
        <f t="shared" si="156"/>
        <v>-500000</v>
      </c>
    </row>
    <row r="256" spans="1:39" s="50" customFormat="1" ht="12.75" customHeight="1" hidden="1">
      <c r="A256" s="48" t="s">
        <v>426</v>
      </c>
      <c r="B256" s="49"/>
      <c r="C256" s="50" t="s">
        <v>427</v>
      </c>
      <c r="D256" s="51"/>
      <c r="E256" s="51">
        <v>15781433</v>
      </c>
      <c r="F256" s="51"/>
      <c r="G256" s="51">
        <f>1603100+15425952</f>
        <v>17029052</v>
      </c>
      <c r="H256" s="51"/>
      <c r="I256" s="51"/>
      <c r="J256" s="51"/>
      <c r="K256" s="51"/>
      <c r="L256" s="41"/>
      <c r="M256" s="51"/>
      <c r="N256" s="53">
        <f t="shared" si="162"/>
        <v>0</v>
      </c>
      <c r="O256" s="51"/>
      <c r="P256" s="51"/>
      <c r="Q256" s="41"/>
      <c r="R256" s="41"/>
      <c r="S256" s="51"/>
      <c r="T256" s="53">
        <f t="shared" si="163"/>
        <v>0</v>
      </c>
      <c r="U256" s="41"/>
      <c r="V256" s="41"/>
      <c r="W256" s="51"/>
      <c r="X256" s="41"/>
      <c r="Y256" s="51"/>
      <c r="Z256" s="41" t="e">
        <f>Y256/W256*100</f>
        <v>#DIV/0!</v>
      </c>
      <c r="AA256" s="51"/>
      <c r="AB256" s="41" t="e">
        <f>AA256/Y256*100</f>
        <v>#DIV/0!</v>
      </c>
      <c r="AC256" s="31">
        <f t="shared" si="164"/>
        <v>0</v>
      </c>
      <c r="AD256" s="31">
        <f t="shared" si="165"/>
        <v>0</v>
      </c>
      <c r="AE256" s="31">
        <f t="shared" si="144"/>
        <v>0</v>
      </c>
      <c r="AF256" s="31">
        <f t="shared" si="145"/>
        <v>0</v>
      </c>
      <c r="AI256" s="51"/>
      <c r="AJ256" s="51"/>
      <c r="AK256" s="51"/>
      <c r="AL256" s="51">
        <f t="shared" si="155"/>
        <v>0</v>
      </c>
      <c r="AM256" s="51">
        <f t="shared" si="156"/>
        <v>0</v>
      </c>
    </row>
    <row r="257" spans="1:39" s="50" customFormat="1" ht="11.25">
      <c r="A257" s="48" t="s">
        <v>428</v>
      </c>
      <c r="B257" s="49"/>
      <c r="C257" s="50" t="s">
        <v>429</v>
      </c>
      <c r="D257" s="51">
        <v>18507000</v>
      </c>
      <c r="E257" s="51"/>
      <c r="F257" s="51">
        <v>98629000</v>
      </c>
      <c r="G257" s="51">
        <f>416239+2365371</f>
        <v>2781610</v>
      </c>
      <c r="H257" s="51">
        <f>8281880+1382100+2100000</f>
        <v>11763980</v>
      </c>
      <c r="I257" s="51">
        <f>7124880+1132000+3990000</f>
        <v>12246880</v>
      </c>
      <c r="J257" s="51">
        <v>12294377.9</v>
      </c>
      <c r="K257" s="51">
        <f>8000000+7700000</f>
        <v>15700000</v>
      </c>
      <c r="L257" s="52">
        <f>K257/J257*100</f>
        <v>127.70064600015263</v>
      </c>
      <c r="M257" s="51">
        <f>8000000+7700000</f>
        <v>15700000</v>
      </c>
      <c r="N257" s="53">
        <f t="shared" si="162"/>
        <v>0.0011591602901484907</v>
      </c>
      <c r="O257" s="51">
        <f>8000000+7700000</f>
        <v>15700000</v>
      </c>
      <c r="P257" s="51"/>
      <c r="Q257" s="52">
        <f>O257/J257*100</f>
        <v>127.70064600015263</v>
      </c>
      <c r="R257" s="52">
        <f>O257/M257*100</f>
        <v>100</v>
      </c>
      <c r="S257" s="51">
        <v>21300000</v>
      </c>
      <c r="T257" s="53">
        <f t="shared" si="163"/>
        <v>0.0014658363155847728</v>
      </c>
      <c r="U257" s="52">
        <f>S257/M257*100</f>
        <v>135.66878980891718</v>
      </c>
      <c r="V257" s="52">
        <f>S257/O257*100</f>
        <v>135.66878980891718</v>
      </c>
      <c r="W257" s="51">
        <v>21500000</v>
      </c>
      <c r="X257" s="52">
        <f>W257/S257*100</f>
        <v>100.93896713615023</v>
      </c>
      <c r="Y257" s="51">
        <v>22000000</v>
      </c>
      <c r="Z257" s="52">
        <f>Y257/W257*100</f>
        <v>102.32558139534885</v>
      </c>
      <c r="AA257" s="51">
        <v>22500000</v>
      </c>
      <c r="AB257" s="52">
        <f>AA257/Y257*100</f>
        <v>102.27272727272727</v>
      </c>
      <c r="AC257" s="31">
        <f t="shared" si="164"/>
        <v>22252500</v>
      </c>
      <c r="AD257" s="31">
        <f t="shared" si="165"/>
        <v>22637999.999999996</v>
      </c>
      <c r="AE257" s="31">
        <f t="shared" si="144"/>
        <v>16594899.999999998</v>
      </c>
      <c r="AF257" s="31">
        <f t="shared" si="145"/>
        <v>22258500</v>
      </c>
      <c r="AI257" s="51">
        <f>21300000-3100000</f>
        <v>18200000</v>
      </c>
      <c r="AJ257" s="51">
        <v>21300000</v>
      </c>
      <c r="AK257" s="51">
        <v>21300000</v>
      </c>
      <c r="AL257" s="51">
        <f t="shared" si="155"/>
        <v>3100000</v>
      </c>
      <c r="AM257" s="51">
        <f t="shared" si="156"/>
        <v>0</v>
      </c>
    </row>
    <row r="258" spans="1:39" s="50" customFormat="1" ht="11.25" hidden="1">
      <c r="A258" s="48" t="s">
        <v>430</v>
      </c>
      <c r="B258" s="49"/>
      <c r="C258" s="50" t="s">
        <v>431</v>
      </c>
      <c r="D258" s="51">
        <v>70000000</v>
      </c>
      <c r="E258" s="51"/>
      <c r="F258" s="51">
        <v>74647000</v>
      </c>
      <c r="G258" s="51">
        <v>1369368</v>
      </c>
      <c r="H258" s="51"/>
      <c r="I258" s="51"/>
      <c r="J258" s="51"/>
      <c r="K258" s="51"/>
      <c r="L258" s="52"/>
      <c r="M258" s="51"/>
      <c r="N258" s="53">
        <f t="shared" si="162"/>
        <v>0</v>
      </c>
      <c r="O258" s="51"/>
      <c r="P258" s="51"/>
      <c r="Q258" s="52"/>
      <c r="R258" s="52"/>
      <c r="S258" s="51"/>
      <c r="T258" s="53">
        <f t="shared" si="163"/>
        <v>0</v>
      </c>
      <c r="U258" s="52"/>
      <c r="V258" s="52"/>
      <c r="W258" s="51"/>
      <c r="X258" s="52"/>
      <c r="Y258" s="51"/>
      <c r="Z258" s="52" t="e">
        <f>Y258/W258*100</f>
        <v>#DIV/0!</v>
      </c>
      <c r="AA258" s="51"/>
      <c r="AB258" s="52" t="e">
        <f>AA258/Y258*100</f>
        <v>#DIV/0!</v>
      </c>
      <c r="AC258" s="31">
        <f t="shared" si="164"/>
        <v>0</v>
      </c>
      <c r="AD258" s="31">
        <f t="shared" si="165"/>
        <v>0</v>
      </c>
      <c r="AE258" s="31">
        <f t="shared" si="144"/>
        <v>0</v>
      </c>
      <c r="AF258" s="31">
        <f t="shared" si="145"/>
        <v>0</v>
      </c>
      <c r="AI258" s="51"/>
      <c r="AJ258" s="51"/>
      <c r="AK258" s="51"/>
      <c r="AL258" s="51">
        <f t="shared" si="155"/>
        <v>0</v>
      </c>
      <c r="AM258" s="51">
        <f t="shared" si="156"/>
        <v>0</v>
      </c>
    </row>
    <row r="259" spans="1:39" s="50" customFormat="1" ht="11.25">
      <c r="A259" s="48" t="s">
        <v>432</v>
      </c>
      <c r="B259" s="49"/>
      <c r="C259" s="50" t="s">
        <v>433</v>
      </c>
      <c r="D259" s="51">
        <v>9000000</v>
      </c>
      <c r="E259" s="51"/>
      <c r="F259" s="51">
        <v>11600000</v>
      </c>
      <c r="G259" s="51">
        <v>5000000</v>
      </c>
      <c r="H259" s="51">
        <v>5000000</v>
      </c>
      <c r="I259" s="51">
        <v>5000000</v>
      </c>
      <c r="J259" s="51">
        <v>5000000</v>
      </c>
      <c r="K259" s="51">
        <v>5000000</v>
      </c>
      <c r="L259" s="52">
        <f>K259/J259*100</f>
        <v>100</v>
      </c>
      <c r="M259" s="51">
        <f>5000000-50000</f>
        <v>4950000</v>
      </c>
      <c r="N259" s="53">
        <f t="shared" si="162"/>
        <v>0.0003654677347920401</v>
      </c>
      <c r="O259" s="51">
        <f>5000000-50000</f>
        <v>4950000</v>
      </c>
      <c r="P259" s="51"/>
      <c r="Q259" s="52">
        <f>O259/J259*100</f>
        <v>99</v>
      </c>
      <c r="R259" s="52">
        <f>O259/M259*100</f>
        <v>100</v>
      </c>
      <c r="S259" s="51"/>
      <c r="T259" s="53">
        <f t="shared" si="163"/>
        <v>0</v>
      </c>
      <c r="U259" s="52">
        <f>S259/M259*100</f>
        <v>0</v>
      </c>
      <c r="V259" s="52">
        <f>S259/O259*100</f>
        <v>0</v>
      </c>
      <c r="W259" s="51"/>
      <c r="X259" s="52"/>
      <c r="Y259" s="51"/>
      <c r="Z259" s="52"/>
      <c r="AA259" s="51"/>
      <c r="AB259" s="52"/>
      <c r="AC259" s="31">
        <f t="shared" si="164"/>
        <v>0</v>
      </c>
      <c r="AD259" s="31">
        <f t="shared" si="165"/>
        <v>0</v>
      </c>
      <c r="AE259" s="31">
        <f t="shared" si="144"/>
        <v>5232150</v>
      </c>
      <c r="AF259" s="31">
        <f t="shared" si="145"/>
        <v>0</v>
      </c>
      <c r="AI259" s="51"/>
      <c r="AJ259" s="51"/>
      <c r="AK259" s="51"/>
      <c r="AL259" s="51">
        <f t="shared" si="155"/>
        <v>0</v>
      </c>
      <c r="AM259" s="51">
        <f t="shared" si="156"/>
        <v>0</v>
      </c>
    </row>
    <row r="260" spans="1:39" s="50" customFormat="1" ht="11.25">
      <c r="A260" s="48" t="s">
        <v>434</v>
      </c>
      <c r="B260" s="49"/>
      <c r="C260" s="50" t="s">
        <v>435</v>
      </c>
      <c r="D260" s="51">
        <v>7000000</v>
      </c>
      <c r="E260" s="51"/>
      <c r="F260" s="51">
        <v>3500000</v>
      </c>
      <c r="G260" s="51">
        <v>3066000</v>
      </c>
      <c r="H260" s="51">
        <v>3000000</v>
      </c>
      <c r="I260" s="51">
        <v>3000000</v>
      </c>
      <c r="J260" s="51"/>
      <c r="K260" s="51">
        <v>3000000</v>
      </c>
      <c r="L260" s="52"/>
      <c r="M260" s="51">
        <v>3000000</v>
      </c>
      <c r="N260" s="53">
        <f t="shared" si="162"/>
        <v>0.00022149559684366067</v>
      </c>
      <c r="O260" s="51">
        <v>3000000</v>
      </c>
      <c r="P260" s="51"/>
      <c r="Q260" s="52"/>
      <c r="R260" s="52">
        <f>O260/M260*100</f>
        <v>100</v>
      </c>
      <c r="S260" s="51"/>
      <c r="T260" s="53">
        <f t="shared" si="163"/>
        <v>0</v>
      </c>
      <c r="U260" s="52">
        <f>S260/M260*100</f>
        <v>0</v>
      </c>
      <c r="V260" s="52">
        <f>S260/O260*100</f>
        <v>0</v>
      </c>
      <c r="W260" s="51"/>
      <c r="X260" s="52"/>
      <c r="Y260" s="51"/>
      <c r="Z260" s="52"/>
      <c r="AA260" s="51"/>
      <c r="AB260" s="52"/>
      <c r="AC260" s="31">
        <f t="shared" si="164"/>
        <v>0</v>
      </c>
      <c r="AD260" s="31">
        <f t="shared" si="165"/>
        <v>0</v>
      </c>
      <c r="AE260" s="31">
        <f t="shared" si="144"/>
        <v>3171000</v>
      </c>
      <c r="AF260" s="31">
        <f t="shared" si="145"/>
        <v>0</v>
      </c>
      <c r="AI260" s="51"/>
      <c r="AJ260" s="51"/>
      <c r="AK260" s="51"/>
      <c r="AL260" s="51">
        <f t="shared" si="155"/>
        <v>0</v>
      </c>
      <c r="AM260" s="51">
        <f t="shared" si="156"/>
        <v>0</v>
      </c>
    </row>
    <row r="261" spans="1:39" s="50" customFormat="1" ht="11.25">
      <c r="A261" s="48" t="s">
        <v>436</v>
      </c>
      <c r="B261" s="49"/>
      <c r="C261" s="50" t="s">
        <v>437</v>
      </c>
      <c r="D261" s="51">
        <v>21100000</v>
      </c>
      <c r="E261" s="51"/>
      <c r="F261" s="51"/>
      <c r="G261" s="51"/>
      <c r="H261" s="51"/>
      <c r="I261" s="51">
        <v>7500000</v>
      </c>
      <c r="J261" s="51">
        <v>704225.35</v>
      </c>
      <c r="K261" s="51"/>
      <c r="L261" s="52">
        <f>K261/J261*100</f>
        <v>0</v>
      </c>
      <c r="M261" s="51"/>
      <c r="N261" s="53">
        <f t="shared" si="162"/>
        <v>0</v>
      </c>
      <c r="O261" s="51"/>
      <c r="P261" s="51"/>
      <c r="Q261" s="52"/>
      <c r="R261" s="52"/>
      <c r="S261" s="51"/>
      <c r="T261" s="53">
        <f t="shared" si="163"/>
        <v>0</v>
      </c>
      <c r="U261" s="52"/>
      <c r="V261" s="52"/>
      <c r="W261" s="51"/>
      <c r="X261" s="52"/>
      <c r="Y261" s="51"/>
      <c r="Z261" s="52"/>
      <c r="AA261" s="51"/>
      <c r="AB261" s="52"/>
      <c r="AC261" s="31">
        <f t="shared" si="164"/>
        <v>0</v>
      </c>
      <c r="AD261" s="31">
        <f t="shared" si="165"/>
        <v>0</v>
      </c>
      <c r="AE261" s="31">
        <f t="shared" si="144"/>
        <v>0</v>
      </c>
      <c r="AF261" s="31">
        <f t="shared" si="145"/>
        <v>0</v>
      </c>
      <c r="AI261" s="51"/>
      <c r="AJ261" s="51"/>
      <c r="AK261" s="51"/>
      <c r="AL261" s="51">
        <f t="shared" si="155"/>
        <v>0</v>
      </c>
      <c r="AM261" s="51">
        <f t="shared" si="156"/>
        <v>0</v>
      </c>
    </row>
    <row r="262" spans="1:39" s="50" customFormat="1" ht="11.25">
      <c r="A262" s="48" t="s">
        <v>438</v>
      </c>
      <c r="B262" s="49"/>
      <c r="C262" s="50" t="s">
        <v>439</v>
      </c>
      <c r="D262" s="51"/>
      <c r="E262" s="51"/>
      <c r="F262" s="51"/>
      <c r="G262" s="51"/>
      <c r="H262" s="51"/>
      <c r="I262" s="51"/>
      <c r="J262" s="51">
        <f>1070020+591884</f>
        <v>1661904</v>
      </c>
      <c r="K262" s="51"/>
      <c r="L262" s="52">
        <f>K262/J262*100</f>
        <v>0</v>
      </c>
      <c r="M262" s="51"/>
      <c r="N262" s="53">
        <f t="shared" si="162"/>
        <v>0</v>
      </c>
      <c r="O262" s="51"/>
      <c r="P262" s="51"/>
      <c r="Q262" s="52"/>
      <c r="R262" s="52"/>
      <c r="S262" s="51"/>
      <c r="T262" s="53">
        <f t="shared" si="163"/>
        <v>0</v>
      </c>
      <c r="U262" s="52"/>
      <c r="V262" s="52"/>
      <c r="W262" s="51"/>
      <c r="X262" s="52"/>
      <c r="Y262" s="51"/>
      <c r="Z262" s="52"/>
      <c r="AA262" s="51"/>
      <c r="AB262" s="52"/>
      <c r="AC262" s="31">
        <f t="shared" si="164"/>
        <v>0</v>
      </c>
      <c r="AD262" s="31">
        <f t="shared" si="165"/>
        <v>0</v>
      </c>
      <c r="AE262" s="31">
        <f t="shared" si="144"/>
        <v>0</v>
      </c>
      <c r="AF262" s="31">
        <f t="shared" si="145"/>
        <v>0</v>
      </c>
      <c r="AI262" s="51"/>
      <c r="AJ262" s="51"/>
      <c r="AK262" s="51"/>
      <c r="AL262" s="51">
        <f t="shared" si="155"/>
        <v>0</v>
      </c>
      <c r="AM262" s="51">
        <f t="shared" si="156"/>
        <v>0</v>
      </c>
    </row>
    <row r="263" spans="1:39" s="50" customFormat="1" ht="11.25">
      <c r="A263" s="48" t="s">
        <v>440</v>
      </c>
      <c r="B263" s="49"/>
      <c r="C263" s="50" t="s">
        <v>441</v>
      </c>
      <c r="D263" s="51">
        <v>130000000</v>
      </c>
      <c r="E263" s="51"/>
      <c r="F263" s="51">
        <v>170000000</v>
      </c>
      <c r="G263" s="51"/>
      <c r="H263" s="51"/>
      <c r="I263" s="51">
        <v>2000000</v>
      </c>
      <c r="J263" s="51">
        <v>2000000</v>
      </c>
      <c r="K263" s="51"/>
      <c r="L263" s="51">
        <f>K263/J263*100</f>
        <v>0</v>
      </c>
      <c r="M263" s="51"/>
      <c r="N263" s="53">
        <f t="shared" si="162"/>
        <v>0</v>
      </c>
      <c r="O263" s="51"/>
      <c r="P263" s="51"/>
      <c r="Q263" s="51"/>
      <c r="R263" s="52"/>
      <c r="S263" s="51"/>
      <c r="T263" s="53">
        <f t="shared" si="163"/>
        <v>0</v>
      </c>
      <c r="U263" s="52"/>
      <c r="V263" s="52"/>
      <c r="W263" s="51"/>
      <c r="X263" s="52"/>
      <c r="Y263" s="51"/>
      <c r="Z263" s="52"/>
      <c r="AA263" s="51"/>
      <c r="AB263" s="52"/>
      <c r="AC263" s="31">
        <f t="shared" si="164"/>
        <v>0</v>
      </c>
      <c r="AD263" s="31">
        <f t="shared" si="165"/>
        <v>0</v>
      </c>
      <c r="AE263" s="31">
        <f t="shared" si="144"/>
        <v>0</v>
      </c>
      <c r="AF263" s="31">
        <f t="shared" si="145"/>
        <v>0</v>
      </c>
      <c r="AI263" s="51"/>
      <c r="AJ263" s="51"/>
      <c r="AK263" s="51"/>
      <c r="AL263" s="51">
        <f t="shared" si="155"/>
        <v>0</v>
      </c>
      <c r="AM263" s="51">
        <f t="shared" si="156"/>
        <v>0</v>
      </c>
    </row>
    <row r="264" spans="1:39" s="50" customFormat="1" ht="11.25">
      <c r="A264" s="48" t="s">
        <v>442</v>
      </c>
      <c r="B264" s="49"/>
      <c r="C264" s="50" t="s">
        <v>443</v>
      </c>
      <c r="D264" s="51"/>
      <c r="E264" s="51"/>
      <c r="F264" s="51"/>
      <c r="G264" s="51"/>
      <c r="H264" s="51"/>
      <c r="I264" s="51"/>
      <c r="J264" s="51"/>
      <c r="K264" s="51"/>
      <c r="L264" s="51"/>
      <c r="M264" s="51">
        <v>1960000</v>
      </c>
      <c r="N264" s="53">
        <f t="shared" si="162"/>
        <v>0.00014471045660452496</v>
      </c>
      <c r="O264" s="51">
        <v>1960000</v>
      </c>
      <c r="P264" s="51"/>
      <c r="Q264" s="51"/>
      <c r="R264" s="52">
        <f>O264/M264*100</f>
        <v>100</v>
      </c>
      <c r="S264" s="51">
        <v>5000000</v>
      </c>
      <c r="T264" s="53">
        <f t="shared" si="163"/>
        <v>0.00034409303182741143</v>
      </c>
      <c r="U264" s="52">
        <f>S264/M264*100</f>
        <v>255.10204081632654</v>
      </c>
      <c r="V264" s="52">
        <f>S264/O264*100</f>
        <v>255.10204081632654</v>
      </c>
      <c r="W264" s="51">
        <v>5000000</v>
      </c>
      <c r="X264" s="52">
        <f>W264/S264*100</f>
        <v>100</v>
      </c>
      <c r="Y264" s="51">
        <v>5000000</v>
      </c>
      <c r="Z264" s="52">
        <f>Y264/W264*100</f>
        <v>100</v>
      </c>
      <c r="AA264" s="51">
        <v>5000000</v>
      </c>
      <c r="AB264" s="52">
        <f>AA264/Y264*100</f>
        <v>100</v>
      </c>
      <c r="AC264" s="31">
        <f t="shared" si="164"/>
        <v>5175000</v>
      </c>
      <c r="AD264" s="31">
        <f t="shared" si="165"/>
        <v>5145000</v>
      </c>
      <c r="AE264" s="31">
        <f t="shared" si="144"/>
        <v>2071719.9999999998</v>
      </c>
      <c r="AF264" s="31">
        <f t="shared" si="145"/>
        <v>5225000</v>
      </c>
      <c r="AI264" s="51">
        <v>5000000</v>
      </c>
      <c r="AJ264" s="51">
        <v>5000000</v>
      </c>
      <c r="AK264" s="51">
        <v>5000000</v>
      </c>
      <c r="AL264" s="51">
        <f t="shared" si="155"/>
        <v>0</v>
      </c>
      <c r="AM264" s="51">
        <f t="shared" si="156"/>
        <v>0</v>
      </c>
    </row>
    <row r="265" spans="1:39" s="50" customFormat="1" ht="11.25">
      <c r="A265" s="48" t="s">
        <v>444</v>
      </c>
      <c r="B265" s="49"/>
      <c r="C265" s="50" t="s">
        <v>445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3">
        <f t="shared" si="162"/>
        <v>0</v>
      </c>
      <c r="O265" s="51"/>
      <c r="P265" s="51"/>
      <c r="Q265" s="51"/>
      <c r="R265" s="52"/>
      <c r="S265" s="51">
        <f>7500000-500000</f>
        <v>7000000</v>
      </c>
      <c r="T265" s="53">
        <f t="shared" si="163"/>
        <v>0.00048173024455837603</v>
      </c>
      <c r="U265" s="52"/>
      <c r="V265" s="52"/>
      <c r="W265" s="51">
        <v>0</v>
      </c>
      <c r="X265" s="52"/>
      <c r="Y265" s="51"/>
      <c r="Z265" s="52"/>
      <c r="AA265" s="51"/>
      <c r="AB265" s="52"/>
      <c r="AC265" s="31">
        <f t="shared" si="164"/>
        <v>0</v>
      </c>
      <c r="AD265" s="31">
        <f t="shared" si="165"/>
        <v>0</v>
      </c>
      <c r="AE265" s="31"/>
      <c r="AF265" s="31"/>
      <c r="AI265" s="51">
        <v>7500000</v>
      </c>
      <c r="AJ265" s="51">
        <v>7500000</v>
      </c>
      <c r="AK265" s="51">
        <f>7500000-500000</f>
        <v>7000000</v>
      </c>
      <c r="AL265" s="51">
        <f t="shared" si="155"/>
        <v>0</v>
      </c>
      <c r="AM265" s="51">
        <f t="shared" si="156"/>
        <v>-500000</v>
      </c>
    </row>
    <row r="266" spans="1:39" s="50" customFormat="1" ht="11.25">
      <c r="A266" s="48" t="s">
        <v>446</v>
      </c>
      <c r="B266" s="49"/>
      <c r="C266" s="50" t="s">
        <v>447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>
        <v>28576575</v>
      </c>
      <c r="N266" s="53"/>
      <c r="O266" s="51">
        <v>28576575</v>
      </c>
      <c r="P266" s="51"/>
      <c r="Q266" s="51"/>
      <c r="R266" s="52"/>
      <c r="S266" s="51"/>
      <c r="T266" s="53"/>
      <c r="U266" s="52"/>
      <c r="V266" s="52"/>
      <c r="W266" s="51"/>
      <c r="X266" s="52"/>
      <c r="Y266" s="51"/>
      <c r="Z266" s="52"/>
      <c r="AA266" s="51"/>
      <c r="AB266" s="52"/>
      <c r="AC266" s="31">
        <f t="shared" si="164"/>
        <v>0</v>
      </c>
      <c r="AD266" s="31">
        <f t="shared" si="165"/>
        <v>0</v>
      </c>
      <c r="AE266" s="31"/>
      <c r="AF266" s="31"/>
      <c r="AI266" s="51"/>
      <c r="AJ266" s="51"/>
      <c r="AK266" s="51"/>
      <c r="AL266" s="51"/>
      <c r="AM266" s="51"/>
    </row>
    <row r="267" spans="1:39" s="50" customFormat="1" ht="11.25">
      <c r="A267" s="48" t="s">
        <v>448</v>
      </c>
      <c r="B267" s="49"/>
      <c r="C267" s="50" t="s">
        <v>449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3"/>
      <c r="O267" s="51"/>
      <c r="P267" s="51"/>
      <c r="Q267" s="51"/>
      <c r="R267" s="52"/>
      <c r="S267" s="51">
        <v>148000000</v>
      </c>
      <c r="T267" s="53"/>
      <c r="U267" s="52"/>
      <c r="V267" s="52"/>
      <c r="W267" s="51">
        <v>148000000</v>
      </c>
      <c r="X267" s="52">
        <f>W267/S267*100</f>
        <v>100</v>
      </c>
      <c r="Y267" s="51"/>
      <c r="Z267" s="52"/>
      <c r="AA267" s="51"/>
      <c r="AB267" s="52"/>
      <c r="AC267" s="31">
        <f t="shared" si="164"/>
        <v>153180000</v>
      </c>
      <c r="AD267" s="31">
        <f t="shared" si="165"/>
        <v>0</v>
      </c>
      <c r="AE267" s="31"/>
      <c r="AF267" s="31"/>
      <c r="AI267" s="51"/>
      <c r="AJ267" s="51">
        <v>148000000</v>
      </c>
      <c r="AK267" s="51">
        <v>148000000</v>
      </c>
      <c r="AL267" s="51">
        <f>AJ267-AI267</f>
        <v>148000000</v>
      </c>
      <c r="AM267" s="51">
        <f>AK267-AJ267</f>
        <v>0</v>
      </c>
    </row>
    <row r="268" spans="1:39" s="40" customFormat="1" ht="9" customHeight="1">
      <c r="A268" s="1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42">
        <f aca="true" t="shared" si="166" ref="N268:N280">M268/$M$9</f>
        <v>0</v>
      </c>
      <c r="O268" s="31"/>
      <c r="P268" s="31"/>
      <c r="Q268" s="31"/>
      <c r="R268" s="31"/>
      <c r="S268" s="31"/>
      <c r="T268" s="42">
        <f aca="true" t="shared" si="167" ref="T268:T281">S268/$S$9</f>
        <v>0</v>
      </c>
      <c r="U268" s="31"/>
      <c r="V268" s="31"/>
      <c r="W268" s="31"/>
      <c r="X268" s="31"/>
      <c r="Y268" s="31"/>
      <c r="Z268" s="31"/>
      <c r="AA268" s="31"/>
      <c r="AB268" s="31"/>
      <c r="AC268" s="31">
        <f t="shared" si="164"/>
        <v>0</v>
      </c>
      <c r="AD268" s="31">
        <f t="shared" si="165"/>
        <v>0</v>
      </c>
      <c r="AE268" s="31">
        <f>M268*1.057</f>
        <v>0</v>
      </c>
      <c r="AF268" s="31">
        <f>S268*1.045</f>
        <v>0</v>
      </c>
      <c r="AI268" s="31"/>
      <c r="AJ268" s="31"/>
      <c r="AK268" s="31"/>
      <c r="AL268" s="31"/>
      <c r="AM268" s="31"/>
    </row>
    <row r="269" spans="1:39" s="35" customFormat="1" ht="12.75">
      <c r="A269" s="34">
        <v>7401</v>
      </c>
      <c r="C269" s="35" t="s">
        <v>450</v>
      </c>
      <c r="D269" s="36">
        <f aca="true" t="shared" si="168" ref="D269:K269">D270+D274</f>
        <v>0</v>
      </c>
      <c r="E269" s="36">
        <f t="shared" si="168"/>
        <v>19437957</v>
      </c>
      <c r="F269" s="36">
        <f t="shared" si="168"/>
        <v>0</v>
      </c>
      <c r="G269" s="36">
        <f t="shared" si="168"/>
        <v>28816172</v>
      </c>
      <c r="H269" s="36">
        <f t="shared" si="168"/>
        <v>81500000</v>
      </c>
      <c r="I269" s="36">
        <f t="shared" si="168"/>
        <v>77000000</v>
      </c>
      <c r="J269" s="36">
        <f t="shared" si="168"/>
        <v>14560360.43</v>
      </c>
      <c r="K269" s="36">
        <f t="shared" si="168"/>
        <v>92690000</v>
      </c>
      <c r="L269" s="37">
        <f>K269/J269*100</f>
        <v>636.5913841598494</v>
      </c>
      <c r="M269" s="36">
        <f>M270+M274</f>
        <v>185043550</v>
      </c>
      <c r="N269" s="38">
        <f t="shared" si="166"/>
        <v>0.013662110516439922</v>
      </c>
      <c r="O269" s="36">
        <f>O270+O274</f>
        <v>92671350</v>
      </c>
      <c r="P269" s="36"/>
      <c r="Q269" s="37">
        <f>O269/J269*100</f>
        <v>636.46329667129</v>
      </c>
      <c r="R269" s="37">
        <f>O269/M269*100</f>
        <v>50.08083232298559</v>
      </c>
      <c r="S269" s="36">
        <f>S270+S274</f>
        <v>68705000</v>
      </c>
      <c r="T269" s="38">
        <f t="shared" si="167"/>
        <v>0.004728182350340461</v>
      </c>
      <c r="U269" s="37">
        <f>S269/M269*100</f>
        <v>37.12909744760085</v>
      </c>
      <c r="V269" s="37">
        <f>S269/O269*100</f>
        <v>74.13833941126356</v>
      </c>
      <c r="W269" s="36">
        <f>W270+W274</f>
        <v>33750000</v>
      </c>
      <c r="X269" s="37">
        <f>W269/S269*100</f>
        <v>49.12306236809548</v>
      </c>
      <c r="Y269" s="36">
        <f>Y270+Y274</f>
        <v>34160000</v>
      </c>
      <c r="Z269" s="37">
        <f>Y269/W269*100</f>
        <v>101.21481481481483</v>
      </c>
      <c r="AA269" s="36">
        <f>AA270+AA274</f>
        <v>51645000</v>
      </c>
      <c r="AB269" s="37">
        <f>AA269/Y269*100</f>
        <v>151.18559718969556</v>
      </c>
      <c r="AC269" s="31">
        <f t="shared" si="164"/>
        <v>34931250</v>
      </c>
      <c r="AD269" s="31">
        <f t="shared" si="165"/>
        <v>35150640</v>
      </c>
      <c r="AE269" s="31">
        <f>M269*1.057</f>
        <v>195591032.35</v>
      </c>
      <c r="AF269" s="31">
        <f>S269*1.045</f>
        <v>71796725</v>
      </c>
      <c r="AI269" s="36">
        <f>AI270+AI274</f>
        <v>68605000</v>
      </c>
      <c r="AJ269" s="36">
        <f>AJ270+AJ274</f>
        <v>68605000</v>
      </c>
      <c r="AK269" s="36">
        <f>AK270+AK274</f>
        <v>68705000</v>
      </c>
      <c r="AL269" s="36">
        <f aca="true" t="shared" si="169" ref="AL269:AL281">AJ269-AI269</f>
        <v>0</v>
      </c>
      <c r="AM269" s="36">
        <f aca="true" t="shared" si="170" ref="AM269:AM281">AK269-AJ269</f>
        <v>100000</v>
      </c>
    </row>
    <row r="270" spans="1:39" s="40" customFormat="1" ht="12.75" customHeight="1">
      <c r="A270" s="39" t="s">
        <v>451</v>
      </c>
      <c r="C270" s="40" t="s">
        <v>452</v>
      </c>
      <c r="D270" s="31"/>
      <c r="E270" s="31">
        <f>SUM(E271:E272)</f>
        <v>1200000</v>
      </c>
      <c r="F270" s="31"/>
      <c r="G270" s="31">
        <f>SUM(G271:G272)</f>
        <v>1261986</v>
      </c>
      <c r="H270" s="31">
        <f>SUM(H271:H272)</f>
        <v>6500000</v>
      </c>
      <c r="I270" s="31">
        <f>SUM(I271:I272)</f>
        <v>2000000</v>
      </c>
      <c r="J270" s="31">
        <f>SUM(J271:J272)</f>
        <v>2031000</v>
      </c>
      <c r="K270" s="31">
        <f>SUM(K271:K272)</f>
        <v>350000</v>
      </c>
      <c r="L270" s="41">
        <f>K270/J270*100</f>
        <v>17.232890201870998</v>
      </c>
      <c r="M270" s="31">
        <f>SUM(M271:M272)</f>
        <v>86822200</v>
      </c>
      <c r="N270" s="42">
        <f t="shared" si="166"/>
        <v>0.0064102450027598915</v>
      </c>
      <c r="O270" s="31">
        <f>SUM(O271:O272)</f>
        <v>4450000</v>
      </c>
      <c r="P270" s="31"/>
      <c r="Q270" s="41">
        <f>O270/J270*100</f>
        <v>219.1038897095027</v>
      </c>
      <c r="R270" s="41">
        <f>O270/M270*100</f>
        <v>5.125417231998268</v>
      </c>
      <c r="S270" s="31">
        <f>SUM(S271:S273)</f>
        <v>1700000</v>
      </c>
      <c r="T270" s="42">
        <f t="shared" si="167"/>
        <v>0.0001169916308213199</v>
      </c>
      <c r="U270" s="41">
        <f>S270/M270*100</f>
        <v>1.958024560538664</v>
      </c>
      <c r="V270" s="41">
        <f>S270/O270*100</f>
        <v>38.20224719101123</v>
      </c>
      <c r="W270" s="31">
        <f>SUM(W271:W273)</f>
        <v>0</v>
      </c>
      <c r="X270" s="41"/>
      <c r="Y270" s="31">
        <f>SUM(Y271:Y273)</f>
        <v>0</v>
      </c>
      <c r="Z270" s="41"/>
      <c r="AA270" s="31">
        <f>SUM(AA271:AA273)</f>
        <v>0</v>
      </c>
      <c r="AB270" s="41"/>
      <c r="AC270" s="31">
        <f t="shared" si="164"/>
        <v>0</v>
      </c>
      <c r="AD270" s="31">
        <f t="shared" si="165"/>
        <v>0</v>
      </c>
      <c r="AE270" s="31">
        <f>M270*1.057</f>
        <v>91771065.39999999</v>
      </c>
      <c r="AF270" s="31">
        <f>S270*1.045</f>
        <v>1776499.9999999998</v>
      </c>
      <c r="AI270" s="31">
        <f>SUM(AI271:AI273)</f>
        <v>1600000</v>
      </c>
      <c r="AJ270" s="31">
        <f>SUM(AJ271:AJ273)</f>
        <v>1600000</v>
      </c>
      <c r="AK270" s="31">
        <f>SUM(AK271:AK273)</f>
        <v>1700000</v>
      </c>
      <c r="AL270" s="31">
        <f t="shared" si="169"/>
        <v>0</v>
      </c>
      <c r="AM270" s="31">
        <f t="shared" si="170"/>
        <v>100000</v>
      </c>
    </row>
    <row r="271" spans="1:39" s="50" customFormat="1" ht="12.75" customHeight="1">
      <c r="A271" s="48" t="s">
        <v>453</v>
      </c>
      <c r="B271" s="49"/>
      <c r="C271" s="50" t="s">
        <v>454</v>
      </c>
      <c r="D271" s="51"/>
      <c r="E271" s="51">
        <v>1200000</v>
      </c>
      <c r="F271" s="51"/>
      <c r="G271" s="51">
        <v>1261986</v>
      </c>
      <c r="H271" s="51">
        <v>3000000</v>
      </c>
      <c r="I271" s="51">
        <v>2000000</v>
      </c>
      <c r="J271" s="51">
        <v>2031000</v>
      </c>
      <c r="K271" s="51">
        <f>3000000-2650000</f>
        <v>350000</v>
      </c>
      <c r="L271" s="52">
        <f>K271/J271*100</f>
        <v>17.232890201870998</v>
      </c>
      <c r="M271" s="51">
        <f>3000000-2650000</f>
        <v>350000</v>
      </c>
      <c r="N271" s="53">
        <f t="shared" si="166"/>
        <v>2.5841152965093742E-05</v>
      </c>
      <c r="O271" s="51">
        <f>3000000-2650000</f>
        <v>350000</v>
      </c>
      <c r="P271" s="51"/>
      <c r="Q271" s="52">
        <f>O271/J271*100</f>
        <v>17.232890201870998</v>
      </c>
      <c r="R271" s="52">
        <f>O271/M271*100</f>
        <v>100</v>
      </c>
      <c r="S271" s="51"/>
      <c r="T271" s="53">
        <f t="shared" si="167"/>
        <v>0</v>
      </c>
      <c r="U271" s="52">
        <f>S271/M271*100</f>
        <v>0</v>
      </c>
      <c r="V271" s="52">
        <f>S271/O271*100</f>
        <v>0</v>
      </c>
      <c r="W271" s="51"/>
      <c r="X271" s="52"/>
      <c r="Y271" s="51"/>
      <c r="Z271" s="52"/>
      <c r="AA271" s="51"/>
      <c r="AB271" s="52"/>
      <c r="AC271" s="31">
        <f t="shared" si="164"/>
        <v>0</v>
      </c>
      <c r="AD271" s="31">
        <f t="shared" si="165"/>
        <v>0</v>
      </c>
      <c r="AE271" s="31">
        <f>M271*1.057</f>
        <v>369950</v>
      </c>
      <c r="AF271" s="31">
        <f>S271*1.045</f>
        <v>0</v>
      </c>
      <c r="AI271" s="51"/>
      <c r="AJ271" s="51"/>
      <c r="AK271" s="51"/>
      <c r="AL271" s="51">
        <f t="shared" si="169"/>
        <v>0</v>
      </c>
      <c r="AM271" s="51">
        <f t="shared" si="170"/>
        <v>0</v>
      </c>
    </row>
    <row r="272" spans="1:39" s="50" customFormat="1" ht="11.25">
      <c r="A272" s="48" t="s">
        <v>455</v>
      </c>
      <c r="B272" s="49"/>
      <c r="C272" s="50" t="s">
        <v>456</v>
      </c>
      <c r="D272" s="51"/>
      <c r="E272" s="51"/>
      <c r="F272" s="51"/>
      <c r="G272" s="51"/>
      <c r="H272" s="51">
        <v>3500000</v>
      </c>
      <c r="I272" s="51"/>
      <c r="J272" s="51"/>
      <c r="K272" s="51"/>
      <c r="L272" s="52"/>
      <c r="M272" s="51">
        <v>86472200</v>
      </c>
      <c r="N272" s="53">
        <f t="shared" si="166"/>
        <v>0.006384403849794798</v>
      </c>
      <c r="O272" s="51">
        <v>4100000</v>
      </c>
      <c r="P272" s="51"/>
      <c r="Q272" s="52"/>
      <c r="R272" s="52"/>
      <c r="S272" s="51"/>
      <c r="T272" s="53">
        <f t="shared" si="167"/>
        <v>0</v>
      </c>
      <c r="U272" s="52"/>
      <c r="V272" s="52"/>
      <c r="W272" s="51"/>
      <c r="X272" s="41"/>
      <c r="Y272" s="51"/>
      <c r="Z272" s="41"/>
      <c r="AA272" s="51"/>
      <c r="AB272" s="41"/>
      <c r="AC272" s="31">
        <f t="shared" si="164"/>
        <v>0</v>
      </c>
      <c r="AD272" s="31">
        <f t="shared" si="165"/>
        <v>0</v>
      </c>
      <c r="AE272" s="31">
        <f>M272*1.057</f>
        <v>91401115.39999999</v>
      </c>
      <c r="AF272" s="31">
        <f>S272*1.045</f>
        <v>0</v>
      </c>
      <c r="AI272" s="51"/>
      <c r="AJ272" s="51"/>
      <c r="AK272" s="51"/>
      <c r="AL272" s="51">
        <f t="shared" si="169"/>
        <v>0</v>
      </c>
      <c r="AM272" s="51">
        <f t="shared" si="170"/>
        <v>0</v>
      </c>
    </row>
    <row r="273" spans="1:39" s="50" customFormat="1" ht="11.25">
      <c r="A273" s="48" t="s">
        <v>457</v>
      </c>
      <c r="B273" s="49"/>
      <c r="C273" s="50" t="s">
        <v>458</v>
      </c>
      <c r="D273" s="51"/>
      <c r="E273" s="51"/>
      <c r="F273" s="51"/>
      <c r="G273" s="51"/>
      <c r="H273" s="51"/>
      <c r="I273" s="51"/>
      <c r="J273" s="51"/>
      <c r="K273" s="51"/>
      <c r="L273" s="52"/>
      <c r="M273" s="51"/>
      <c r="N273" s="53">
        <f t="shared" si="166"/>
        <v>0</v>
      </c>
      <c r="O273" s="51"/>
      <c r="P273" s="51"/>
      <c r="Q273" s="52"/>
      <c r="R273" s="52"/>
      <c r="S273" s="51">
        <f>1600000+100000</f>
        <v>1700000</v>
      </c>
      <c r="T273" s="53">
        <f t="shared" si="167"/>
        <v>0.0001169916308213199</v>
      </c>
      <c r="U273" s="52"/>
      <c r="V273" s="52"/>
      <c r="W273" s="51">
        <v>0</v>
      </c>
      <c r="X273" s="41"/>
      <c r="Y273" s="51"/>
      <c r="Z273" s="41"/>
      <c r="AA273" s="51"/>
      <c r="AB273" s="41"/>
      <c r="AC273" s="31">
        <f t="shared" si="164"/>
        <v>0</v>
      </c>
      <c r="AD273" s="31">
        <f t="shared" si="165"/>
        <v>0</v>
      </c>
      <c r="AE273" s="31"/>
      <c r="AF273" s="31"/>
      <c r="AI273" s="51">
        <v>1600000</v>
      </c>
      <c r="AJ273" s="51">
        <v>1600000</v>
      </c>
      <c r="AK273" s="51">
        <f>1600000+100000</f>
        <v>1700000</v>
      </c>
      <c r="AL273" s="51">
        <f t="shared" si="169"/>
        <v>0</v>
      </c>
      <c r="AM273" s="51">
        <f t="shared" si="170"/>
        <v>100000</v>
      </c>
    </row>
    <row r="274" spans="1:39" s="40" customFormat="1" ht="12.75" customHeight="1">
      <c r="A274" s="39" t="s">
        <v>459</v>
      </c>
      <c r="C274" s="40" t="s">
        <v>460</v>
      </c>
      <c r="D274" s="31"/>
      <c r="E274" s="31">
        <f>SUM(E275:E280)</f>
        <v>18237957</v>
      </c>
      <c r="F274" s="31"/>
      <c r="G274" s="31">
        <f>SUM(G275:G280)</f>
        <v>27554186</v>
      </c>
      <c r="H274" s="31">
        <f>SUM(H275:H280)</f>
        <v>75000000</v>
      </c>
      <c r="I274" s="31">
        <f>SUM(I275:I280)</f>
        <v>75000000</v>
      </c>
      <c r="J274" s="31">
        <f>SUM(J275:J280)</f>
        <v>12529360.43</v>
      </c>
      <c r="K274" s="31">
        <f>SUM(K275:K280)</f>
        <v>92340000</v>
      </c>
      <c r="L274" s="41">
        <f>K274/J274*100</f>
        <v>736.9889350369658</v>
      </c>
      <c r="M274" s="31">
        <f>SUM(M275:M280)</f>
        <v>98221350</v>
      </c>
      <c r="N274" s="42">
        <f t="shared" si="166"/>
        <v>0.00725186551368003</v>
      </c>
      <c r="O274" s="31">
        <f>SUM(O275:O280)</f>
        <v>88221350</v>
      </c>
      <c r="P274" s="31"/>
      <c r="Q274" s="41">
        <f>O274/J274*100</f>
        <v>704.1169458958569</v>
      </c>
      <c r="R274" s="41">
        <f>O274/M274*100</f>
        <v>89.81891411592287</v>
      </c>
      <c r="S274" s="31">
        <f>SUM(S275:S281)</f>
        <v>67005000</v>
      </c>
      <c r="T274" s="42">
        <f t="shared" si="167"/>
        <v>0.004611190719519141</v>
      </c>
      <c r="U274" s="41">
        <f>S274/M274*100</f>
        <v>68.21836596625886</v>
      </c>
      <c r="V274" s="41">
        <f>S274/O274*100</f>
        <v>75.95100279014093</v>
      </c>
      <c r="W274" s="31">
        <f>SUM(W275:W281)</f>
        <v>33750000</v>
      </c>
      <c r="X274" s="41">
        <f>W274/S274*100</f>
        <v>50.3693754197448</v>
      </c>
      <c r="Y274" s="31">
        <f>SUM(Y275:Y281)</f>
        <v>34160000</v>
      </c>
      <c r="Z274" s="41">
        <f>Y274/W274*100</f>
        <v>101.21481481481483</v>
      </c>
      <c r="AA274" s="31">
        <f>SUM(AA275:AA281)</f>
        <v>51645000</v>
      </c>
      <c r="AB274" s="41">
        <f>AA274/Y274*100</f>
        <v>151.18559718969556</v>
      </c>
      <c r="AC274" s="31">
        <f t="shared" si="164"/>
        <v>34931250</v>
      </c>
      <c r="AD274" s="31">
        <f t="shared" si="165"/>
        <v>35150640</v>
      </c>
      <c r="AE274" s="31">
        <f aca="true" t="shared" si="171" ref="AE274:AE281">M274*1.057</f>
        <v>103819966.94999999</v>
      </c>
      <c r="AF274" s="31">
        <f aca="true" t="shared" si="172" ref="AF274:AF281">S274*1.045</f>
        <v>70020225</v>
      </c>
      <c r="AI274" s="31">
        <f>SUM(AI275:AI281)</f>
        <v>67005000</v>
      </c>
      <c r="AJ274" s="31">
        <f>SUM(AJ275:AJ281)</f>
        <v>67005000</v>
      </c>
      <c r="AK274" s="31">
        <f>SUM(AK275:AK281)</f>
        <v>67005000</v>
      </c>
      <c r="AL274" s="31">
        <f t="shared" si="169"/>
        <v>0</v>
      </c>
      <c r="AM274" s="31">
        <f t="shared" si="170"/>
        <v>0</v>
      </c>
    </row>
    <row r="275" spans="1:39" s="50" customFormat="1" ht="12.75" customHeight="1">
      <c r="A275" s="48" t="s">
        <v>461</v>
      </c>
      <c r="B275" s="49"/>
      <c r="C275" s="50" t="s">
        <v>462</v>
      </c>
      <c r="D275" s="51"/>
      <c r="E275" s="51"/>
      <c r="F275" s="51"/>
      <c r="G275" s="51"/>
      <c r="H275" s="51">
        <v>10000000</v>
      </c>
      <c r="I275" s="51">
        <v>10000000</v>
      </c>
      <c r="J275" s="51"/>
      <c r="K275" s="51">
        <v>7000000</v>
      </c>
      <c r="L275" s="52" t="e">
        <f>K275/J275*100</f>
        <v>#DIV/0!</v>
      </c>
      <c r="M275" s="51"/>
      <c r="N275" s="53">
        <f t="shared" si="166"/>
        <v>0</v>
      </c>
      <c r="O275" s="51"/>
      <c r="P275" s="51"/>
      <c r="Q275" s="52" t="e">
        <f>O275/J275*100</f>
        <v>#DIV/0!</v>
      </c>
      <c r="R275" s="52" t="e">
        <f>O275/M275*100</f>
        <v>#DIV/0!</v>
      </c>
      <c r="S275" s="51"/>
      <c r="T275" s="53">
        <f t="shared" si="167"/>
        <v>0</v>
      </c>
      <c r="U275" s="52"/>
      <c r="V275" s="52"/>
      <c r="W275" s="51"/>
      <c r="X275" s="52"/>
      <c r="Y275" s="51"/>
      <c r="Z275" s="52" t="e">
        <f>Y275/W275*100</f>
        <v>#DIV/0!</v>
      </c>
      <c r="AA275" s="51"/>
      <c r="AB275" s="52" t="e">
        <f>AA275/Y275*100</f>
        <v>#DIV/0!</v>
      </c>
      <c r="AC275" s="31">
        <f t="shared" si="164"/>
        <v>0</v>
      </c>
      <c r="AD275" s="31">
        <f t="shared" si="165"/>
        <v>0</v>
      </c>
      <c r="AE275" s="31">
        <f t="shared" si="171"/>
        <v>0</v>
      </c>
      <c r="AF275" s="31">
        <f t="shared" si="172"/>
        <v>0</v>
      </c>
      <c r="AI275" s="51"/>
      <c r="AJ275" s="51"/>
      <c r="AK275" s="51"/>
      <c r="AL275" s="51">
        <f t="shared" si="169"/>
        <v>0</v>
      </c>
      <c r="AM275" s="51">
        <f t="shared" si="170"/>
        <v>0</v>
      </c>
    </row>
    <row r="276" spans="1:39" s="50" customFormat="1" ht="11.25">
      <c r="A276" s="48" t="s">
        <v>463</v>
      </c>
      <c r="B276" s="49"/>
      <c r="C276" s="50" t="s">
        <v>464</v>
      </c>
      <c r="D276" s="51"/>
      <c r="E276" s="51">
        <v>18237957</v>
      </c>
      <c r="F276" s="51"/>
      <c r="G276" s="51">
        <f>11067096+4291133</f>
        <v>15358229</v>
      </c>
      <c r="H276" s="51">
        <v>25000000</v>
      </c>
      <c r="I276" s="51">
        <v>25000000</v>
      </c>
      <c r="J276" s="51">
        <f>2162265.74</f>
        <v>2162265.74</v>
      </c>
      <c r="K276" s="51">
        <v>43500000</v>
      </c>
      <c r="L276" s="52">
        <f>K276/J276*100</f>
        <v>2011.778626247854</v>
      </c>
      <c r="M276" s="51">
        <v>50781350</v>
      </c>
      <c r="N276" s="53">
        <f t="shared" si="166"/>
        <v>0.003749281808925609</v>
      </c>
      <c r="O276" s="51">
        <v>50781350</v>
      </c>
      <c r="P276" s="51"/>
      <c r="Q276" s="52">
        <f>O276/J276*100</f>
        <v>2348.5249320002636</v>
      </c>
      <c r="R276" s="52">
        <f>O276/M276*100</f>
        <v>100</v>
      </c>
      <c r="S276" s="51">
        <v>15770000</v>
      </c>
      <c r="T276" s="53">
        <f t="shared" si="167"/>
        <v>0.0010852694223836556</v>
      </c>
      <c r="U276" s="52">
        <f>S276/M276*100</f>
        <v>31.05470807688256</v>
      </c>
      <c r="V276" s="52">
        <f>S276/O276*100</f>
        <v>31.05470807688256</v>
      </c>
      <c r="W276" s="51">
        <v>7900000</v>
      </c>
      <c r="X276" s="52">
        <f>W276/S276*100</f>
        <v>50.09511731135067</v>
      </c>
      <c r="Y276" s="51">
        <v>6240000</v>
      </c>
      <c r="Z276" s="52">
        <f>Y276/W276*100</f>
        <v>78.9873417721519</v>
      </c>
      <c r="AA276" s="51">
        <f>19695000+1800000</f>
        <v>21495000</v>
      </c>
      <c r="AB276" s="52">
        <f>AA276/Y276*100</f>
        <v>344.4711538461538</v>
      </c>
      <c r="AC276" s="31">
        <f t="shared" si="164"/>
        <v>8176499.999999999</v>
      </c>
      <c r="AD276" s="31">
        <f t="shared" si="165"/>
        <v>6420959.999999999</v>
      </c>
      <c r="AE276" s="31">
        <f t="shared" si="171"/>
        <v>53675886.949999996</v>
      </c>
      <c r="AF276" s="31">
        <f t="shared" si="172"/>
        <v>16479649.999999998</v>
      </c>
      <c r="AI276" s="51">
        <v>15770000</v>
      </c>
      <c r="AJ276" s="51">
        <v>15770000</v>
      </c>
      <c r="AK276" s="51">
        <v>15770000</v>
      </c>
      <c r="AL276" s="51">
        <f t="shared" si="169"/>
        <v>0</v>
      </c>
      <c r="AM276" s="51">
        <f t="shared" si="170"/>
        <v>0</v>
      </c>
    </row>
    <row r="277" spans="1:39" s="50" customFormat="1" ht="11.25">
      <c r="A277" s="48" t="s">
        <v>465</v>
      </c>
      <c r="B277" s="49"/>
      <c r="C277" s="50" t="s">
        <v>466</v>
      </c>
      <c r="D277" s="51"/>
      <c r="E277" s="51"/>
      <c r="F277" s="51"/>
      <c r="G277" s="51">
        <f>2630470+4328695+5236792</f>
        <v>12195957</v>
      </c>
      <c r="H277" s="51">
        <v>15000000</v>
      </c>
      <c r="I277" s="51">
        <v>15000000</v>
      </c>
      <c r="J277" s="51">
        <v>9572274.94</v>
      </c>
      <c r="K277" s="51">
        <v>10000000</v>
      </c>
      <c r="L277" s="52">
        <f>K277/J277*100</f>
        <v>104.46837416059427</v>
      </c>
      <c r="M277" s="51">
        <v>15600000</v>
      </c>
      <c r="N277" s="53">
        <f t="shared" si="166"/>
        <v>0.0011517771035870355</v>
      </c>
      <c r="O277" s="51">
        <v>15600000</v>
      </c>
      <c r="P277" s="51"/>
      <c r="Q277" s="52">
        <f>O277/J277*100</f>
        <v>162.97066369052706</v>
      </c>
      <c r="R277" s="52">
        <f>O277/M277*100</f>
        <v>100</v>
      </c>
      <c r="S277" s="51">
        <v>23935000</v>
      </c>
      <c r="T277" s="53">
        <f t="shared" si="167"/>
        <v>0.0016471733433578186</v>
      </c>
      <c r="U277" s="52">
        <f>S277/M277*100</f>
        <v>153.42948717948718</v>
      </c>
      <c r="V277" s="52">
        <f>S277/O277*100</f>
        <v>153.42948717948718</v>
      </c>
      <c r="W277" s="51">
        <v>25850000</v>
      </c>
      <c r="X277" s="52">
        <f>W277/S277*100</f>
        <v>108.00083559640694</v>
      </c>
      <c r="Y277" s="51">
        <v>27920000</v>
      </c>
      <c r="Z277" s="52">
        <f>Y277/W277*100</f>
        <v>108.00773694390715</v>
      </c>
      <c r="AA277" s="51">
        <v>30150000</v>
      </c>
      <c r="AB277" s="52">
        <f>AA277/Y277*100</f>
        <v>107.98710601719196</v>
      </c>
      <c r="AC277" s="31">
        <f t="shared" si="164"/>
        <v>26754749.999999996</v>
      </c>
      <c r="AD277" s="31">
        <f t="shared" si="165"/>
        <v>28729679.999999996</v>
      </c>
      <c r="AE277" s="31">
        <f t="shared" si="171"/>
        <v>16489199.999999998</v>
      </c>
      <c r="AF277" s="31">
        <f t="shared" si="172"/>
        <v>25012075</v>
      </c>
      <c r="AI277" s="51">
        <v>23935000</v>
      </c>
      <c r="AJ277" s="51">
        <v>23935000</v>
      </c>
      <c r="AK277" s="51">
        <v>23935000</v>
      </c>
      <c r="AL277" s="51">
        <f t="shared" si="169"/>
        <v>0</v>
      </c>
      <c r="AM277" s="51">
        <f t="shared" si="170"/>
        <v>0</v>
      </c>
    </row>
    <row r="278" spans="1:39" s="50" customFormat="1" ht="11.25">
      <c r="A278" s="48" t="s">
        <v>467</v>
      </c>
      <c r="B278" s="49"/>
      <c r="C278" s="50" t="s">
        <v>468</v>
      </c>
      <c r="D278" s="51"/>
      <c r="E278" s="51"/>
      <c r="F278" s="51"/>
      <c r="G278" s="51"/>
      <c r="H278" s="51"/>
      <c r="I278" s="51"/>
      <c r="J278" s="51">
        <v>794819.75</v>
      </c>
      <c r="K278" s="51"/>
      <c r="L278" s="52">
        <f>K278/J278*100</f>
        <v>0</v>
      </c>
      <c r="M278" s="51"/>
      <c r="N278" s="53">
        <f t="shared" si="166"/>
        <v>0</v>
      </c>
      <c r="O278" s="51"/>
      <c r="P278" s="51"/>
      <c r="Q278" s="52">
        <f>O278/J278*100</f>
        <v>0</v>
      </c>
      <c r="R278" s="52"/>
      <c r="S278" s="51"/>
      <c r="T278" s="53">
        <f t="shared" si="167"/>
        <v>0</v>
      </c>
      <c r="U278" s="52"/>
      <c r="V278" s="52"/>
      <c r="W278" s="51"/>
      <c r="X278" s="52"/>
      <c r="Y278" s="51"/>
      <c r="Z278" s="52"/>
      <c r="AA278" s="51"/>
      <c r="AB278" s="52"/>
      <c r="AC278" s="31">
        <f t="shared" si="164"/>
        <v>0</v>
      </c>
      <c r="AD278" s="31">
        <f t="shared" si="165"/>
        <v>0</v>
      </c>
      <c r="AE278" s="31">
        <f t="shared" si="171"/>
        <v>0</v>
      </c>
      <c r="AF278" s="31">
        <f t="shared" si="172"/>
        <v>0</v>
      </c>
      <c r="AI278" s="51"/>
      <c r="AJ278" s="51"/>
      <c r="AK278" s="51"/>
      <c r="AL278" s="51">
        <f t="shared" si="169"/>
        <v>0</v>
      </c>
      <c r="AM278" s="51">
        <f t="shared" si="170"/>
        <v>0</v>
      </c>
    </row>
    <row r="279" spans="1:39" s="50" customFormat="1" ht="11.25">
      <c r="A279" s="48" t="s">
        <v>469</v>
      </c>
      <c r="B279" s="49"/>
      <c r="C279" s="50" t="s">
        <v>470</v>
      </c>
      <c r="D279" s="51"/>
      <c r="E279" s="51"/>
      <c r="F279" s="51"/>
      <c r="G279" s="51"/>
      <c r="H279" s="51">
        <v>25000000</v>
      </c>
      <c r="I279" s="51">
        <v>25000000</v>
      </c>
      <c r="J279" s="51"/>
      <c r="K279" s="51">
        <f>30000000</f>
        <v>30000000</v>
      </c>
      <c r="L279" s="52"/>
      <c r="M279" s="51">
        <f>30000000</f>
        <v>30000000</v>
      </c>
      <c r="N279" s="53">
        <f t="shared" si="166"/>
        <v>0.0022149559684366067</v>
      </c>
      <c r="O279" s="51">
        <v>20000000</v>
      </c>
      <c r="P279" s="51"/>
      <c r="Q279" s="52"/>
      <c r="R279" s="52"/>
      <c r="S279" s="51"/>
      <c r="T279" s="53">
        <f t="shared" si="167"/>
        <v>0</v>
      </c>
      <c r="U279" s="52">
        <f>S279/M279*100</f>
        <v>0</v>
      </c>
      <c r="V279" s="52">
        <f>S279/O279*100</f>
        <v>0</v>
      </c>
      <c r="W279" s="51"/>
      <c r="X279" s="52"/>
      <c r="Y279" s="51"/>
      <c r="Z279" s="52"/>
      <c r="AA279" s="51"/>
      <c r="AB279" s="52"/>
      <c r="AC279" s="31">
        <f t="shared" si="164"/>
        <v>0</v>
      </c>
      <c r="AD279" s="31">
        <f t="shared" si="165"/>
        <v>0</v>
      </c>
      <c r="AE279" s="31">
        <f t="shared" si="171"/>
        <v>31710000</v>
      </c>
      <c r="AF279" s="31">
        <f t="shared" si="172"/>
        <v>0</v>
      </c>
      <c r="AI279" s="51"/>
      <c r="AJ279" s="51"/>
      <c r="AK279" s="51"/>
      <c r="AL279" s="51">
        <f t="shared" si="169"/>
        <v>0</v>
      </c>
      <c r="AM279" s="51">
        <f t="shared" si="170"/>
        <v>0</v>
      </c>
    </row>
    <row r="280" spans="1:39" s="50" customFormat="1" ht="11.25">
      <c r="A280" s="48" t="s">
        <v>471</v>
      </c>
      <c r="B280" s="49"/>
      <c r="C280" s="50" t="s">
        <v>472</v>
      </c>
      <c r="D280" s="51"/>
      <c r="E280" s="51"/>
      <c r="F280" s="51"/>
      <c r="G280" s="51"/>
      <c r="H280" s="51"/>
      <c r="I280" s="51"/>
      <c r="J280" s="51"/>
      <c r="K280" s="51">
        <v>1840000</v>
      </c>
      <c r="L280" s="41"/>
      <c r="M280" s="51">
        <v>1840000</v>
      </c>
      <c r="N280" s="53">
        <f t="shared" si="166"/>
        <v>0.00013585063273077855</v>
      </c>
      <c r="O280" s="51">
        <v>1840000</v>
      </c>
      <c r="P280" s="51"/>
      <c r="Q280" s="41"/>
      <c r="R280" s="41"/>
      <c r="S280" s="51"/>
      <c r="T280" s="53">
        <f t="shared" si="167"/>
        <v>0</v>
      </c>
      <c r="U280" s="41">
        <f>S280/M280*100</f>
        <v>0</v>
      </c>
      <c r="V280" s="41">
        <f>S280/O280*100</f>
        <v>0</v>
      </c>
      <c r="W280" s="51"/>
      <c r="X280" s="41"/>
      <c r="Y280" s="51"/>
      <c r="Z280" s="41"/>
      <c r="AA280" s="51"/>
      <c r="AB280" s="41"/>
      <c r="AC280" s="31">
        <f t="shared" si="164"/>
        <v>0</v>
      </c>
      <c r="AD280" s="31">
        <f t="shared" si="165"/>
        <v>0</v>
      </c>
      <c r="AE280" s="31">
        <f t="shared" si="171"/>
        <v>1944880</v>
      </c>
      <c r="AF280" s="31">
        <f t="shared" si="172"/>
        <v>0</v>
      </c>
      <c r="AI280" s="51"/>
      <c r="AJ280" s="51"/>
      <c r="AK280" s="51"/>
      <c r="AL280" s="51">
        <f t="shared" si="169"/>
        <v>0</v>
      </c>
      <c r="AM280" s="51">
        <f t="shared" si="170"/>
        <v>0</v>
      </c>
    </row>
    <row r="281" spans="1:39" s="50" customFormat="1" ht="11.25">
      <c r="A281" s="48" t="s">
        <v>473</v>
      </c>
      <c r="B281" s="49"/>
      <c r="C281" s="50" t="s">
        <v>474</v>
      </c>
      <c r="D281" s="51"/>
      <c r="E281" s="51"/>
      <c r="F281" s="51"/>
      <c r="G281" s="51"/>
      <c r="H281" s="51"/>
      <c r="I281" s="51"/>
      <c r="J281" s="51"/>
      <c r="K281" s="51"/>
      <c r="L281" s="41"/>
      <c r="M281" s="51"/>
      <c r="N281" s="51"/>
      <c r="O281" s="51"/>
      <c r="P281" s="51"/>
      <c r="Q281" s="41"/>
      <c r="R281" s="41"/>
      <c r="S281" s="51">
        <v>27300000</v>
      </c>
      <c r="T281" s="53">
        <f t="shared" si="167"/>
        <v>0.0018787479537776665</v>
      </c>
      <c r="U281" s="41"/>
      <c r="V281" s="41"/>
      <c r="W281" s="51"/>
      <c r="X281" s="41"/>
      <c r="Y281" s="51"/>
      <c r="Z281" s="41"/>
      <c r="AA281" s="51"/>
      <c r="AB281" s="41"/>
      <c r="AC281" s="31">
        <f t="shared" si="164"/>
        <v>0</v>
      </c>
      <c r="AD281" s="31">
        <f t="shared" si="165"/>
        <v>0</v>
      </c>
      <c r="AE281" s="31">
        <f t="shared" si="171"/>
        <v>0</v>
      </c>
      <c r="AF281" s="31">
        <f t="shared" si="172"/>
        <v>28528499.999999996</v>
      </c>
      <c r="AI281" s="51">
        <v>27300000</v>
      </c>
      <c r="AJ281" s="51">
        <v>27300000</v>
      </c>
      <c r="AK281" s="51">
        <v>27300000</v>
      </c>
      <c r="AL281" s="51">
        <f t="shared" si="169"/>
        <v>0</v>
      </c>
      <c r="AM281" s="51">
        <f t="shared" si="170"/>
        <v>0</v>
      </c>
    </row>
    <row r="282" spans="1:39" s="40" customFormat="1" ht="11.25">
      <c r="A282" s="11"/>
      <c r="B282" s="58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I282" s="31"/>
      <c r="AJ282" s="31"/>
      <c r="AK282" s="31"/>
      <c r="AL282" s="31"/>
      <c r="AM282" s="31"/>
    </row>
    <row r="283" spans="1:39" s="27" customFormat="1" ht="15.75" hidden="1">
      <c r="A283" s="28">
        <v>79</v>
      </c>
      <c r="C283" s="27" t="s">
        <v>475</v>
      </c>
      <c r="D283" s="19">
        <v>554693700</v>
      </c>
      <c r="E283" s="19"/>
      <c r="F283" s="19">
        <v>1080559800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 t="e">
        <f>O283/J283*100</f>
        <v>#DIV/0!</v>
      </c>
      <c r="R283" s="19"/>
      <c r="S283" s="19"/>
      <c r="T283" s="19"/>
      <c r="U283" s="19" t="e">
        <f>S283/M283*100</f>
        <v>#DIV/0!</v>
      </c>
      <c r="V283" s="19" t="e">
        <f>S283/O283*100</f>
        <v>#DIV/0!</v>
      </c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I283" s="19"/>
      <c r="AJ283" s="19"/>
      <c r="AK283" s="19"/>
      <c r="AL283" s="19">
        <f aca="true" t="shared" si="173" ref="AL283:AM285">AJ283-AI283</f>
        <v>0</v>
      </c>
      <c r="AM283" s="19">
        <f t="shared" si="173"/>
        <v>0</v>
      </c>
    </row>
    <row r="284" spans="1:39" ht="12.75" hidden="1">
      <c r="A284" s="29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 t="e">
        <f>O284/J284*100</f>
        <v>#DIV/0!</v>
      </c>
      <c r="R284" s="25"/>
      <c r="S284" s="25"/>
      <c r="T284" s="25"/>
      <c r="U284" s="25" t="e">
        <f>S284/M284*100</f>
        <v>#DIV/0!</v>
      </c>
      <c r="V284" s="25" t="e">
        <f>S284/O284*100</f>
        <v>#DIV/0!</v>
      </c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I284" s="25"/>
      <c r="AJ284" s="25"/>
      <c r="AK284" s="25"/>
      <c r="AL284" s="25">
        <f t="shared" si="173"/>
        <v>0</v>
      </c>
      <c r="AM284" s="25">
        <f t="shared" si="173"/>
        <v>0</v>
      </c>
    </row>
    <row r="285" spans="1:39" s="27" customFormat="1" ht="15.75">
      <c r="A285" s="28"/>
      <c r="B285" s="17" t="s">
        <v>10</v>
      </c>
      <c r="C285" s="18" t="s">
        <v>476</v>
      </c>
      <c r="D285" s="19">
        <f aca="true" t="shared" si="174" ref="D285:K285">D288+D326+D356+D369</f>
        <v>12304379000</v>
      </c>
      <c r="E285" s="19">
        <f t="shared" si="174"/>
        <v>10530721784</v>
      </c>
      <c r="F285" s="19">
        <f t="shared" si="174"/>
        <v>13685750000</v>
      </c>
      <c r="G285" s="19">
        <f t="shared" si="174"/>
        <v>10797353107</v>
      </c>
      <c r="H285" s="19">
        <f t="shared" si="174"/>
        <v>14313476275</v>
      </c>
      <c r="I285" s="19">
        <f t="shared" si="174"/>
        <v>14806124700</v>
      </c>
      <c r="J285" s="19">
        <f t="shared" si="174"/>
        <v>11440754365.57</v>
      </c>
      <c r="K285" s="19">
        <f t="shared" si="174"/>
        <v>14806744000</v>
      </c>
      <c r="L285" s="20">
        <f>K285/J285*100</f>
        <v>129.42104626037306</v>
      </c>
      <c r="M285" s="19">
        <f>M288+M326+M356+M369+M287</f>
        <v>16322715428</v>
      </c>
      <c r="N285" s="21">
        <f>N288+N326+N356+N369+N287</f>
        <v>1</v>
      </c>
      <c r="O285" s="19">
        <f>O288+O326+O356+O369+O287</f>
        <v>14051209615</v>
      </c>
      <c r="P285" s="21">
        <f>P288+P326+P356+P369+P287</f>
        <v>1</v>
      </c>
      <c r="Q285" s="20">
        <f>O285/J285*100</f>
        <v>122.81716018032822</v>
      </c>
      <c r="R285" s="20">
        <f>O285/M285*100</f>
        <v>86.08377495141858</v>
      </c>
      <c r="S285" s="19">
        <f>S288+S326+S356+S369+S287</f>
        <v>16287496385</v>
      </c>
      <c r="T285" s="21">
        <f>T288+T326+T356+T369</f>
        <v>1</v>
      </c>
      <c r="U285" s="20">
        <f>S285/M285*100</f>
        <v>99.78423294117114</v>
      </c>
      <c r="V285" s="20">
        <f>S285/O285*100</f>
        <v>115.91526161287004</v>
      </c>
      <c r="W285" s="19">
        <f>W288+W326+W356+W369+W287</f>
        <v>14971081651</v>
      </c>
      <c r="X285" s="20">
        <f>W285/S285*100</f>
        <v>91.91763606337709</v>
      </c>
      <c r="Y285" s="19">
        <f>Y288+Y326+Y356+Y369</f>
        <v>0</v>
      </c>
      <c r="Z285" s="20"/>
      <c r="AA285" s="19">
        <f>AA288+AA326+AA356+AA369</f>
        <v>0</v>
      </c>
      <c r="AB285" s="20"/>
      <c r="AC285" s="19"/>
      <c r="AD285" s="19"/>
      <c r="AE285" s="19"/>
      <c r="AF285" s="19"/>
      <c r="AI285" s="19">
        <f>AI288+AI326+AI356+AI369</f>
        <v>14869621200</v>
      </c>
      <c r="AJ285" s="19">
        <f>AJ288+AJ326+AJ356+AJ369</f>
        <v>14869621200</v>
      </c>
      <c r="AK285" s="19">
        <f>16286018835+900+1500000-23350</f>
        <v>16287496385</v>
      </c>
      <c r="AL285" s="19">
        <f t="shared" si="173"/>
        <v>0</v>
      </c>
      <c r="AM285" s="19">
        <f t="shared" si="173"/>
        <v>1417875185</v>
      </c>
    </row>
    <row r="286" spans="1:39" s="27" customFormat="1" ht="15.75">
      <c r="A286" s="28"/>
      <c r="C286" s="22" t="s">
        <v>477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I286" s="19"/>
      <c r="AJ286" s="19"/>
      <c r="AK286" s="19"/>
      <c r="AL286" s="19"/>
      <c r="AM286" s="19"/>
    </row>
    <row r="287" spans="1:39" ht="12.75">
      <c r="A287" s="29"/>
      <c r="D287" s="25"/>
      <c r="E287" s="25"/>
      <c r="F287" s="25"/>
      <c r="G287" s="25"/>
      <c r="H287" s="25"/>
      <c r="I287" s="25"/>
      <c r="J287" s="25"/>
      <c r="K287" s="25"/>
      <c r="L287" s="25"/>
      <c r="M287" s="36"/>
      <c r="N287" s="36"/>
      <c r="O287" s="36"/>
      <c r="P287" s="36"/>
      <c r="Q287" s="25"/>
      <c r="R287" s="25"/>
      <c r="S287" s="25"/>
      <c r="T287" s="36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I287" s="25"/>
      <c r="AJ287" s="25"/>
      <c r="AK287" s="25"/>
      <c r="AL287" s="25">
        <f aca="true" t="shared" si="175" ref="AL287:AL318">AJ287-AI287</f>
        <v>0</v>
      </c>
      <c r="AM287" s="25">
        <f aca="true" t="shared" si="176" ref="AM287:AM318">AK287-AJ287</f>
        <v>0</v>
      </c>
    </row>
    <row r="288" spans="1:39" s="27" customFormat="1" ht="15.75">
      <c r="A288" s="28">
        <v>40</v>
      </c>
      <c r="C288" s="27" t="s">
        <v>478</v>
      </c>
      <c r="D288" s="19">
        <f aca="true" t="shared" si="177" ref="D288:K288">D291+D300+D306+D317+D321</f>
        <v>12304379000</v>
      </c>
      <c r="E288" s="19">
        <f t="shared" si="177"/>
        <v>10530721784</v>
      </c>
      <c r="F288" s="19">
        <f t="shared" si="177"/>
        <v>13685750000</v>
      </c>
      <c r="G288" s="19">
        <f t="shared" si="177"/>
        <v>10797353107</v>
      </c>
      <c r="H288" s="19">
        <f t="shared" si="177"/>
        <v>14313476275</v>
      </c>
      <c r="I288" s="19">
        <f t="shared" si="177"/>
        <v>1889237877</v>
      </c>
      <c r="J288" s="19">
        <f t="shared" si="177"/>
        <v>1842089414.1700003</v>
      </c>
      <c r="K288" s="19">
        <f t="shared" si="177"/>
        <v>1953814030</v>
      </c>
      <c r="L288" s="20">
        <f>K288/J288*100</f>
        <v>106.06510275617322</v>
      </c>
      <c r="M288" s="19">
        <f>M291+M300+M306+M317+M321</f>
        <v>2304842590</v>
      </c>
      <c r="N288" s="21">
        <f>M288/$M$285</f>
        <v>0.14120460533461676</v>
      </c>
      <c r="O288" s="19">
        <f>O291+O300+O306+O317+O321</f>
        <v>1938018087</v>
      </c>
      <c r="P288" s="21">
        <f>O288/$O$285</f>
        <v>0.13792535590182353</v>
      </c>
      <c r="Q288" s="20">
        <f aca="true" t="shared" si="178" ref="Q288:Q319">O288/J288*100</f>
        <v>105.20760132988565</v>
      </c>
      <c r="R288" s="20">
        <f>O288/M288*100</f>
        <v>84.08461798686217</v>
      </c>
      <c r="S288" s="19">
        <f>S291+S300+S306+S317+S321</f>
        <v>2119962240</v>
      </c>
      <c r="T288" s="21">
        <f>S288/$S$285</f>
        <v>0.13015887708514753</v>
      </c>
      <c r="U288" s="20">
        <f>S288/M288*100</f>
        <v>91.97861273467703</v>
      </c>
      <c r="V288" s="20">
        <f>S288/O288*100</f>
        <v>109.38815557091341</v>
      </c>
      <c r="W288" s="19">
        <f>W291+W300+W306+W317+W321</f>
        <v>2247020431</v>
      </c>
      <c r="X288" s="20">
        <f>W288/S288*100</f>
        <v>105.99341764691054</v>
      </c>
      <c r="Y288" s="19">
        <f>Y291+Y300+Y306+Y317+Y321</f>
        <v>0</v>
      </c>
      <c r="Z288" s="20"/>
      <c r="AA288" s="19">
        <f>AA291+AA300+AA306+AA317+AA321</f>
        <v>0</v>
      </c>
      <c r="AB288" s="20"/>
      <c r="AC288" s="19"/>
      <c r="AD288" s="19"/>
      <c r="AE288" s="19"/>
      <c r="AF288" s="19"/>
      <c r="AI288" s="19">
        <f>AI291+AI300+AI306+AI317+AI321</f>
        <v>14869621200</v>
      </c>
      <c r="AJ288" s="19">
        <f>AJ291+AJ300+AJ306+AJ317+AJ321</f>
        <v>14869621200</v>
      </c>
      <c r="AK288" s="19">
        <f>AK291+AK300+AK306+AK317+AK321</f>
        <v>2115572499</v>
      </c>
      <c r="AL288" s="19">
        <f t="shared" si="175"/>
        <v>0</v>
      </c>
      <c r="AM288" s="19">
        <f t="shared" si="176"/>
        <v>-12754048701</v>
      </c>
    </row>
    <row r="289" spans="1:39" s="35" customFormat="1" ht="12.75">
      <c r="A289" s="34"/>
      <c r="C289" s="30" t="s">
        <v>479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8"/>
      <c r="O289" s="36"/>
      <c r="P289" s="38"/>
      <c r="Q289" s="36" t="e">
        <f t="shared" si="178"/>
        <v>#DIV/0!</v>
      </c>
      <c r="R289" s="36"/>
      <c r="S289" s="36"/>
      <c r="T289" s="38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I289" s="36"/>
      <c r="AJ289" s="36"/>
      <c r="AK289" s="36"/>
      <c r="AL289" s="36">
        <f t="shared" si="175"/>
        <v>0</v>
      </c>
      <c r="AM289" s="36">
        <f t="shared" si="176"/>
        <v>0</v>
      </c>
    </row>
    <row r="290" spans="1:39" ht="12.75">
      <c r="A290" s="29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6"/>
      <c r="O290" s="25"/>
      <c r="P290" s="26"/>
      <c r="Q290" s="25" t="e">
        <f t="shared" si="178"/>
        <v>#DIV/0!</v>
      </c>
      <c r="R290" s="25"/>
      <c r="S290" s="25"/>
      <c r="T290" s="26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I290" s="25"/>
      <c r="AJ290" s="25"/>
      <c r="AK290" s="25"/>
      <c r="AL290" s="25">
        <f t="shared" si="175"/>
        <v>0</v>
      </c>
      <c r="AM290" s="25">
        <f t="shared" si="176"/>
        <v>0</v>
      </c>
    </row>
    <row r="291" spans="1:39" s="35" customFormat="1" ht="12.75">
      <c r="A291" s="34">
        <v>400</v>
      </c>
      <c r="C291" s="35" t="s">
        <v>480</v>
      </c>
      <c r="D291" s="36">
        <f aca="true" t="shared" si="179" ref="D291:K291">SUM(D292:D298)</f>
        <v>12304379000</v>
      </c>
      <c r="E291" s="36">
        <f t="shared" si="179"/>
        <v>10530721784</v>
      </c>
      <c r="F291" s="36">
        <f t="shared" si="179"/>
        <v>13685750000</v>
      </c>
      <c r="G291" s="36">
        <f t="shared" si="179"/>
        <v>10797353107</v>
      </c>
      <c r="H291" s="36">
        <f t="shared" si="179"/>
        <v>14313476275</v>
      </c>
      <c r="I291" s="36">
        <f t="shared" si="179"/>
        <v>712081600</v>
      </c>
      <c r="J291" s="36">
        <f t="shared" si="179"/>
        <v>691709825.1</v>
      </c>
      <c r="K291" s="36">
        <f t="shared" si="179"/>
        <v>765569200</v>
      </c>
      <c r="L291" s="37">
        <f aca="true" t="shared" si="180" ref="L291:L296">K291/J291*100</f>
        <v>110.67779757058129</v>
      </c>
      <c r="M291" s="36">
        <f>SUM(M292:M298)</f>
        <v>777983098</v>
      </c>
      <c r="N291" s="38">
        <f aca="true" t="shared" si="181" ref="N291:N298">M291/$M$285</f>
        <v>0.04766260255113234</v>
      </c>
      <c r="O291" s="36">
        <f>SUM(O292:O298)</f>
        <v>727094598</v>
      </c>
      <c r="P291" s="38">
        <f aca="true" t="shared" si="182" ref="P291:P298">O291/$O$285</f>
        <v>0.05174605019227734</v>
      </c>
      <c r="Q291" s="37">
        <f t="shared" si="178"/>
        <v>105.11555158189121</v>
      </c>
      <c r="R291" s="37">
        <f aca="true" t="shared" si="183" ref="R291:R296">O291/M291*100</f>
        <v>93.45891959210661</v>
      </c>
      <c r="S291" s="36">
        <f>SUM(S292:S298)</f>
        <v>864356130</v>
      </c>
      <c r="T291" s="38">
        <f aca="true" t="shared" si="184" ref="T291:T298">S291/$S$285</f>
        <v>0.05306869205484708</v>
      </c>
      <c r="U291" s="37">
        <f aca="true" t="shared" si="185" ref="U291:U296">S291/M291*100</f>
        <v>111.10217332767813</v>
      </c>
      <c r="V291" s="37">
        <f aca="true" t="shared" si="186" ref="V291:V296">S291/O291*100</f>
        <v>118.8780844167405</v>
      </c>
      <c r="W291" s="36">
        <f>SUM(W292:W298)</f>
        <v>915984640</v>
      </c>
      <c r="X291" s="37">
        <f aca="true" t="shared" si="187" ref="X291:X296">W291/S291*100</f>
        <v>105.97305997008432</v>
      </c>
      <c r="Y291" s="36">
        <f>SUM(Y292:Y298)</f>
        <v>0</v>
      </c>
      <c r="Z291" s="37"/>
      <c r="AA291" s="36">
        <f>SUM(AA292:AA298)</f>
        <v>0</v>
      </c>
      <c r="AB291" s="37"/>
      <c r="AC291" s="36"/>
      <c r="AD291" s="36"/>
      <c r="AE291" s="36"/>
      <c r="AF291" s="36"/>
      <c r="AI291" s="36">
        <f>SUM(AI292:AI298)</f>
        <v>14869621200</v>
      </c>
      <c r="AJ291" s="36">
        <f>SUM(AJ292:AJ298)</f>
        <v>14869621200</v>
      </c>
      <c r="AK291" s="36">
        <f>SUM(AK292:AK298)</f>
        <v>864356130</v>
      </c>
      <c r="AL291" s="36">
        <f t="shared" si="175"/>
        <v>0</v>
      </c>
      <c r="AM291" s="36">
        <f t="shared" si="176"/>
        <v>-14005265070</v>
      </c>
    </row>
    <row r="292" spans="1:39" ht="12.75">
      <c r="A292" s="29">
        <v>4000</v>
      </c>
      <c r="C292" s="1" t="s">
        <v>481</v>
      </c>
      <c r="D292" s="25">
        <v>12304379000</v>
      </c>
      <c r="E292" s="25">
        <v>10530721784</v>
      </c>
      <c r="F292" s="25">
        <v>13685750000</v>
      </c>
      <c r="G292" s="25">
        <v>10797353107</v>
      </c>
      <c r="H292" s="25">
        <f>14326976275-13500000</f>
        <v>14313476275</v>
      </c>
      <c r="I292" s="25">
        <f>'[1]odhodki-post-konti (2)'!J1397</f>
        <v>608390750</v>
      </c>
      <c r="J292" s="25">
        <v>592562698.7</v>
      </c>
      <c r="K292" s="25">
        <v>652733100</v>
      </c>
      <c r="L292" s="59">
        <f t="shared" si="180"/>
        <v>110.15426746098017</v>
      </c>
      <c r="M292" s="25">
        <v>665509099</v>
      </c>
      <c r="N292" s="26">
        <f t="shared" si="181"/>
        <v>0.04077195990676803</v>
      </c>
      <c r="O292" s="25">
        <v>624433899</v>
      </c>
      <c r="P292" s="26">
        <f t="shared" si="182"/>
        <v>0.044439867891046335</v>
      </c>
      <c r="Q292" s="59">
        <f t="shared" si="178"/>
        <v>105.37853637596848</v>
      </c>
      <c r="R292" s="59">
        <f t="shared" si="183"/>
        <v>93.82800324417502</v>
      </c>
      <c r="S292" s="25">
        <v>742408960</v>
      </c>
      <c r="T292" s="26">
        <f t="shared" si="184"/>
        <v>0.04558152723114173</v>
      </c>
      <c r="U292" s="59">
        <f t="shared" si="185"/>
        <v>111.55504276583903</v>
      </c>
      <c r="V292" s="59">
        <f t="shared" si="186"/>
        <v>118.89312242479649</v>
      </c>
      <c r="W292" s="25">
        <v>787978710</v>
      </c>
      <c r="X292" s="59">
        <f t="shared" si="187"/>
        <v>106.13809267603666</v>
      </c>
      <c r="Y292" s="25"/>
      <c r="Z292" s="59"/>
      <c r="AA292" s="25"/>
      <c r="AB292" s="59"/>
      <c r="AC292" s="25"/>
      <c r="AD292" s="25"/>
      <c r="AE292" s="25"/>
      <c r="AF292" s="25"/>
      <c r="AI292" s="25">
        <v>14869621200</v>
      </c>
      <c r="AJ292" s="25">
        <v>14869621200</v>
      </c>
      <c r="AK292" s="25">
        <v>742408960</v>
      </c>
      <c r="AL292" s="25">
        <f t="shared" si="175"/>
        <v>0</v>
      </c>
      <c r="AM292" s="25">
        <f t="shared" si="176"/>
        <v>-14127212240</v>
      </c>
    </row>
    <row r="293" spans="1:39" ht="12.75">
      <c r="A293" s="29">
        <v>4001</v>
      </c>
      <c r="C293" s="1" t="s">
        <v>482</v>
      </c>
      <c r="D293" s="25"/>
      <c r="E293" s="25"/>
      <c r="F293" s="25"/>
      <c r="G293" s="25"/>
      <c r="H293" s="25"/>
      <c r="I293" s="25">
        <f>'[1]odhodki-post-konti (2)'!K1397</f>
        <v>24620700</v>
      </c>
      <c r="J293" s="25">
        <v>24620691</v>
      </c>
      <c r="K293" s="25">
        <v>26932300</v>
      </c>
      <c r="L293" s="59">
        <f t="shared" si="180"/>
        <v>109.3888875823997</v>
      </c>
      <c r="M293" s="25">
        <v>27007500</v>
      </c>
      <c r="N293" s="26">
        <f t="shared" si="181"/>
        <v>0.0016545960210561112</v>
      </c>
      <c r="O293" s="25">
        <v>25868900</v>
      </c>
      <c r="P293" s="26">
        <f t="shared" si="182"/>
        <v>0.001841044344850164</v>
      </c>
      <c r="Q293" s="59">
        <f t="shared" si="178"/>
        <v>105.06975616565757</v>
      </c>
      <c r="R293" s="59">
        <f t="shared" si="183"/>
        <v>95.78413403684162</v>
      </c>
      <c r="S293" s="25">
        <v>28462990</v>
      </c>
      <c r="T293" s="26">
        <f t="shared" si="184"/>
        <v>0.0017475362282329066</v>
      </c>
      <c r="U293" s="59">
        <f t="shared" si="185"/>
        <v>105.38920670184208</v>
      </c>
      <c r="V293" s="59">
        <f t="shared" si="186"/>
        <v>110.02783264846978</v>
      </c>
      <c r="W293" s="25">
        <v>29743710</v>
      </c>
      <c r="X293" s="59">
        <f t="shared" si="187"/>
        <v>104.4995975475521</v>
      </c>
      <c r="Y293" s="25"/>
      <c r="Z293" s="59"/>
      <c r="AA293" s="25"/>
      <c r="AB293" s="59"/>
      <c r="AC293" s="25"/>
      <c r="AD293" s="25"/>
      <c r="AE293" s="25"/>
      <c r="AF293" s="25"/>
      <c r="AI293" s="25"/>
      <c r="AJ293" s="25"/>
      <c r="AK293" s="25">
        <v>28462990</v>
      </c>
      <c r="AL293" s="25">
        <f t="shared" si="175"/>
        <v>0</v>
      </c>
      <c r="AM293" s="25">
        <f t="shared" si="176"/>
        <v>28462990</v>
      </c>
    </row>
    <row r="294" spans="1:39" ht="12.75">
      <c r="A294" s="29">
        <v>4002</v>
      </c>
      <c r="C294" s="1" t="s">
        <v>483</v>
      </c>
      <c r="D294" s="25"/>
      <c r="E294" s="25"/>
      <c r="F294" s="25"/>
      <c r="G294" s="25"/>
      <c r="H294" s="25"/>
      <c r="I294" s="25">
        <f>'[1]odhodki-post-konti (2)'!L1397</f>
        <v>47812750</v>
      </c>
      <c r="J294" s="25">
        <v>44853127</v>
      </c>
      <c r="K294" s="25">
        <v>51746800</v>
      </c>
      <c r="L294" s="59">
        <f t="shared" si="180"/>
        <v>115.36943678419567</v>
      </c>
      <c r="M294" s="25">
        <v>51388600</v>
      </c>
      <c r="N294" s="26">
        <f t="shared" si="181"/>
        <v>0.0031482874419196177</v>
      </c>
      <c r="O294" s="25">
        <v>48457700</v>
      </c>
      <c r="P294" s="26">
        <f t="shared" si="182"/>
        <v>0.0034486497125678244</v>
      </c>
      <c r="Q294" s="59">
        <f t="shared" si="178"/>
        <v>108.03639175480453</v>
      </c>
      <c r="R294" s="59">
        <f t="shared" si="183"/>
        <v>94.29659496464197</v>
      </c>
      <c r="S294" s="25">
        <v>55002430</v>
      </c>
      <c r="T294" s="26">
        <f t="shared" si="184"/>
        <v>0.0033769726604915527</v>
      </c>
      <c r="U294" s="59">
        <f t="shared" si="185"/>
        <v>107.03235737109009</v>
      </c>
      <c r="V294" s="59">
        <f t="shared" si="186"/>
        <v>113.506068179051</v>
      </c>
      <c r="W294" s="25">
        <v>56971630</v>
      </c>
      <c r="X294" s="59">
        <f t="shared" si="187"/>
        <v>103.58020545637712</v>
      </c>
      <c r="Y294" s="25"/>
      <c r="Z294" s="59"/>
      <c r="AA294" s="25"/>
      <c r="AB294" s="59"/>
      <c r="AC294" s="25"/>
      <c r="AD294" s="25"/>
      <c r="AE294" s="25"/>
      <c r="AF294" s="25"/>
      <c r="AI294" s="25"/>
      <c r="AJ294" s="25"/>
      <c r="AK294" s="25">
        <v>55002430</v>
      </c>
      <c r="AL294" s="25">
        <f t="shared" si="175"/>
        <v>0</v>
      </c>
      <c r="AM294" s="25">
        <f t="shared" si="176"/>
        <v>55002430</v>
      </c>
    </row>
    <row r="295" spans="1:39" ht="12.75">
      <c r="A295" s="29">
        <v>4003</v>
      </c>
      <c r="C295" s="1" t="s">
        <v>484</v>
      </c>
      <c r="D295" s="25"/>
      <c r="E295" s="25"/>
      <c r="F295" s="25"/>
      <c r="G295" s="25"/>
      <c r="H295" s="25"/>
      <c r="I295" s="25">
        <f>'[1]odhodki-post-konti (2)'!M1397</f>
        <v>16681950</v>
      </c>
      <c r="J295" s="25">
        <v>14848633.9</v>
      </c>
      <c r="K295" s="25">
        <v>22196500</v>
      </c>
      <c r="L295" s="59">
        <f t="shared" si="180"/>
        <v>149.4851320968995</v>
      </c>
      <c r="M295" s="25">
        <v>22117399</v>
      </c>
      <c r="N295" s="26">
        <f t="shared" si="181"/>
        <v>0.0013550073269095774</v>
      </c>
      <c r="O295" s="25">
        <v>18624799</v>
      </c>
      <c r="P295" s="26">
        <f t="shared" si="182"/>
        <v>0.0013254943531777923</v>
      </c>
      <c r="Q295" s="59">
        <f t="shared" si="178"/>
        <v>125.43106069845254</v>
      </c>
      <c r="R295" s="59">
        <f t="shared" si="183"/>
        <v>84.20881225681194</v>
      </c>
      <c r="S295" s="25">
        <v>25073350</v>
      </c>
      <c r="T295" s="26">
        <f t="shared" si="184"/>
        <v>0.001539423211973287</v>
      </c>
      <c r="U295" s="59">
        <f t="shared" si="185"/>
        <v>113.3648219666336</v>
      </c>
      <c r="V295" s="59">
        <f t="shared" si="186"/>
        <v>134.62346627203868</v>
      </c>
      <c r="W295" s="25">
        <v>26590220</v>
      </c>
      <c r="X295" s="59">
        <f t="shared" si="187"/>
        <v>106.04973009191035</v>
      </c>
      <c r="Y295" s="25"/>
      <c r="Z295" s="59"/>
      <c r="AA295" s="25"/>
      <c r="AB295" s="59"/>
      <c r="AC295" s="25"/>
      <c r="AD295" s="25"/>
      <c r="AE295" s="25"/>
      <c r="AF295" s="25"/>
      <c r="AI295" s="25"/>
      <c r="AJ295" s="25"/>
      <c r="AK295" s="25">
        <v>25073350</v>
      </c>
      <c r="AL295" s="25">
        <f t="shared" si="175"/>
        <v>0</v>
      </c>
      <c r="AM295" s="25">
        <f t="shared" si="176"/>
        <v>25073350</v>
      </c>
    </row>
    <row r="296" spans="1:39" ht="12.75">
      <c r="A296" s="29">
        <v>4004</v>
      </c>
      <c r="C296" s="1" t="s">
        <v>485</v>
      </c>
      <c r="D296" s="25"/>
      <c r="E296" s="25"/>
      <c r="F296" s="25"/>
      <c r="G296" s="25"/>
      <c r="H296" s="25"/>
      <c r="I296" s="25">
        <f>'[1]odhodki-post-konti (2)'!N1397</f>
        <v>5960300</v>
      </c>
      <c r="J296" s="25">
        <v>6246706.2</v>
      </c>
      <c r="K296" s="25">
        <v>6590000</v>
      </c>
      <c r="L296" s="59">
        <f t="shared" si="180"/>
        <v>105.4955970235962</v>
      </c>
      <c r="M296" s="25">
        <v>6590000</v>
      </c>
      <c r="N296" s="26">
        <f t="shared" si="181"/>
        <v>0.00040373184407145325</v>
      </c>
      <c r="O296" s="25">
        <v>6744000</v>
      </c>
      <c r="P296" s="26">
        <f t="shared" si="182"/>
        <v>0.0004799586786322382</v>
      </c>
      <c r="Q296" s="59">
        <f t="shared" si="178"/>
        <v>107.96089625601408</v>
      </c>
      <c r="R296" s="59">
        <f t="shared" si="183"/>
        <v>102.33687405159333</v>
      </c>
      <c r="S296" s="25">
        <v>7920000</v>
      </c>
      <c r="T296" s="26">
        <f t="shared" si="184"/>
        <v>0.00048626257914592317</v>
      </c>
      <c r="U296" s="59">
        <f t="shared" si="185"/>
        <v>120.18209408194234</v>
      </c>
      <c r="V296" s="59">
        <f t="shared" si="186"/>
        <v>117.43772241992883</v>
      </c>
      <c r="W296" s="25">
        <v>8245200</v>
      </c>
      <c r="X296" s="59">
        <f t="shared" si="187"/>
        <v>104.1060606060606</v>
      </c>
      <c r="Y296" s="25"/>
      <c r="Z296" s="59"/>
      <c r="AA296" s="25"/>
      <c r="AB296" s="59"/>
      <c r="AC296" s="25"/>
      <c r="AD296" s="25"/>
      <c r="AE296" s="25"/>
      <c r="AF296" s="25"/>
      <c r="AI296" s="25"/>
      <c r="AJ296" s="25"/>
      <c r="AK296" s="25">
        <v>7920000</v>
      </c>
      <c r="AL296" s="25">
        <f t="shared" si="175"/>
        <v>0</v>
      </c>
      <c r="AM296" s="25">
        <f t="shared" si="176"/>
        <v>7920000</v>
      </c>
    </row>
    <row r="297" spans="1:39" ht="12.75" hidden="1">
      <c r="A297" s="29">
        <v>4005</v>
      </c>
      <c r="C297" s="1" t="s">
        <v>486</v>
      </c>
      <c r="D297" s="25"/>
      <c r="E297" s="25"/>
      <c r="F297" s="25"/>
      <c r="G297" s="25"/>
      <c r="H297" s="25"/>
      <c r="I297" s="25">
        <f>'[1]odhodki-post-konti (2)'!O1397</f>
        <v>0</v>
      </c>
      <c r="J297" s="25"/>
      <c r="K297" s="25"/>
      <c r="L297" s="59"/>
      <c r="N297" s="26">
        <f t="shared" si="181"/>
        <v>0</v>
      </c>
      <c r="O297" s="25"/>
      <c r="P297" s="26">
        <f t="shared" si="182"/>
        <v>0</v>
      </c>
      <c r="Q297" s="59" t="e">
        <f t="shared" si="178"/>
        <v>#DIV/0!</v>
      </c>
      <c r="R297" s="59"/>
      <c r="S297" s="25"/>
      <c r="T297" s="26">
        <f t="shared" si="184"/>
        <v>0</v>
      </c>
      <c r="U297" s="59"/>
      <c r="V297" s="59"/>
      <c r="W297" s="25"/>
      <c r="X297" s="59"/>
      <c r="Y297" s="25"/>
      <c r="Z297" s="59"/>
      <c r="AA297" s="25"/>
      <c r="AB297" s="59"/>
      <c r="AC297" s="25"/>
      <c r="AD297" s="25"/>
      <c r="AE297" s="25"/>
      <c r="AF297" s="25"/>
      <c r="AI297" s="25">
        <v>0</v>
      </c>
      <c r="AJ297" s="25">
        <v>0</v>
      </c>
      <c r="AK297" s="25">
        <v>0</v>
      </c>
      <c r="AL297" s="25">
        <f t="shared" si="175"/>
        <v>0</v>
      </c>
      <c r="AM297" s="25">
        <f t="shared" si="176"/>
        <v>0</v>
      </c>
    </row>
    <row r="298" spans="1:39" ht="12.75">
      <c r="A298" s="29">
        <v>4009</v>
      </c>
      <c r="C298" s="1" t="s">
        <v>487</v>
      </c>
      <c r="D298" s="25"/>
      <c r="E298" s="25"/>
      <c r="F298" s="25"/>
      <c r="G298" s="25"/>
      <c r="H298" s="25"/>
      <c r="I298" s="25">
        <f>'[1]odhodki-post-konti (2)'!P1397</f>
        <v>8615150</v>
      </c>
      <c r="J298" s="25">
        <v>8577968.3</v>
      </c>
      <c r="K298" s="25">
        <v>5370500</v>
      </c>
      <c r="L298" s="59">
        <f>K298/J298*100</f>
        <v>62.60806536205082</v>
      </c>
      <c r="M298" s="25">
        <v>5370500</v>
      </c>
      <c r="N298" s="26">
        <f t="shared" si="181"/>
        <v>0.0003290200104075477</v>
      </c>
      <c r="O298" s="25">
        <v>2965300</v>
      </c>
      <c r="P298" s="26">
        <f t="shared" si="182"/>
        <v>0.00021103521200299167</v>
      </c>
      <c r="Q298" s="59">
        <f t="shared" si="178"/>
        <v>34.5687917732221</v>
      </c>
      <c r="R298" s="59">
        <f>O298/M298*100</f>
        <v>55.21459826831766</v>
      </c>
      <c r="S298" s="25">
        <v>5488400</v>
      </c>
      <c r="T298" s="26">
        <f t="shared" si="184"/>
        <v>0.00033697014386167737</v>
      </c>
      <c r="U298" s="59">
        <f>S298/M298*100</f>
        <v>102.19532631970954</v>
      </c>
      <c r="V298" s="59">
        <f>S298/O298*100</f>
        <v>185.08751222473273</v>
      </c>
      <c r="W298" s="25">
        <v>6455170</v>
      </c>
      <c r="X298" s="59">
        <f>W298/S298*100</f>
        <v>117.61478755192772</v>
      </c>
      <c r="Y298" s="25"/>
      <c r="Z298" s="59"/>
      <c r="AA298" s="25"/>
      <c r="AB298" s="59"/>
      <c r="AC298" s="25"/>
      <c r="AD298" s="25"/>
      <c r="AE298" s="25"/>
      <c r="AF298" s="25"/>
      <c r="AI298" s="25"/>
      <c r="AJ298" s="25"/>
      <c r="AK298" s="25">
        <v>5488400</v>
      </c>
      <c r="AL298" s="25">
        <f t="shared" si="175"/>
        <v>0</v>
      </c>
      <c r="AM298" s="25">
        <f t="shared" si="176"/>
        <v>5488400</v>
      </c>
    </row>
    <row r="299" spans="1:39" ht="12.75">
      <c r="A299" s="29"/>
      <c r="D299" s="25"/>
      <c r="E299" s="25"/>
      <c r="F299" s="25"/>
      <c r="G299" s="25"/>
      <c r="H299" s="25"/>
      <c r="I299" s="25"/>
      <c r="J299" s="25"/>
      <c r="K299" s="25"/>
      <c r="L299" s="59"/>
      <c r="M299" s="25"/>
      <c r="N299" s="26"/>
      <c r="O299" s="25"/>
      <c r="P299" s="26"/>
      <c r="Q299" s="59" t="e">
        <f t="shared" si="178"/>
        <v>#DIV/0!</v>
      </c>
      <c r="R299" s="59"/>
      <c r="S299" s="25"/>
      <c r="T299" s="26"/>
      <c r="U299" s="59"/>
      <c r="V299" s="59"/>
      <c r="W299" s="25"/>
      <c r="X299" s="59"/>
      <c r="Y299" s="25"/>
      <c r="Z299" s="59"/>
      <c r="AA299" s="25"/>
      <c r="AB299" s="59"/>
      <c r="AC299" s="25"/>
      <c r="AD299" s="25"/>
      <c r="AE299" s="25"/>
      <c r="AF299" s="25"/>
      <c r="AI299" s="25"/>
      <c r="AJ299" s="25"/>
      <c r="AK299" s="25"/>
      <c r="AL299" s="25">
        <f t="shared" si="175"/>
        <v>0</v>
      </c>
      <c r="AM299" s="25">
        <f t="shared" si="176"/>
        <v>0</v>
      </c>
    </row>
    <row r="300" spans="1:39" s="35" customFormat="1" ht="12.75">
      <c r="A300" s="34">
        <v>401</v>
      </c>
      <c r="C300" s="35" t="s">
        <v>488</v>
      </c>
      <c r="D300" s="36">
        <f aca="true" t="shared" si="188" ref="D300:K300">SUM(D301:D304)</f>
        <v>0</v>
      </c>
      <c r="E300" s="36">
        <f t="shared" si="188"/>
        <v>0</v>
      </c>
      <c r="F300" s="36">
        <f t="shared" si="188"/>
        <v>0</v>
      </c>
      <c r="G300" s="36">
        <f t="shared" si="188"/>
        <v>0</v>
      </c>
      <c r="H300" s="36">
        <f t="shared" si="188"/>
        <v>0</v>
      </c>
      <c r="I300" s="36">
        <f t="shared" si="188"/>
        <v>99805050</v>
      </c>
      <c r="J300" s="36">
        <f t="shared" si="188"/>
        <v>97813103.30000001</v>
      </c>
      <c r="K300" s="36">
        <f t="shared" si="188"/>
        <v>108361800</v>
      </c>
      <c r="L300" s="37">
        <f>K300/J300*100</f>
        <v>110.78454352649088</v>
      </c>
      <c r="M300" s="36">
        <f>SUM(M301:M304)</f>
        <v>110379402</v>
      </c>
      <c r="N300" s="38">
        <f>M300/$M$285</f>
        <v>0.006762318591345106</v>
      </c>
      <c r="O300" s="36">
        <f>SUM(O301:O304)</f>
        <v>103592002</v>
      </c>
      <c r="P300" s="38">
        <f>O300/$O$285</f>
        <v>0.007372461506048068</v>
      </c>
      <c r="Q300" s="37">
        <f t="shared" si="178"/>
        <v>105.90810280528129</v>
      </c>
      <c r="R300" s="37">
        <f>O300/M300*100</f>
        <v>93.8508454684326</v>
      </c>
      <c r="S300" s="36">
        <f>SUM(S301:S304)</f>
        <v>123288880</v>
      </c>
      <c r="T300" s="38">
        <f>S300/$S$285</f>
        <v>0.007569541511213664</v>
      </c>
      <c r="U300" s="37">
        <f>S300/M300*100</f>
        <v>111.69554986355152</v>
      </c>
      <c r="V300" s="37">
        <f>S300/O300*100</f>
        <v>119.01389838956872</v>
      </c>
      <c r="W300" s="36">
        <f>SUM(W301:W304)</f>
        <v>130827420</v>
      </c>
      <c r="X300" s="37">
        <f>W300/S300*100</f>
        <v>106.11453360595051</v>
      </c>
      <c r="Y300" s="36">
        <f>SUM(Y301:Y304)</f>
        <v>0</v>
      </c>
      <c r="Z300" s="37"/>
      <c r="AA300" s="36">
        <f>SUM(AA301:AA304)</f>
        <v>0</v>
      </c>
      <c r="AB300" s="37"/>
      <c r="AC300" s="36"/>
      <c r="AD300" s="36"/>
      <c r="AE300" s="36"/>
      <c r="AF300" s="36"/>
      <c r="AI300" s="36">
        <f>SUM(AI301:AI304)</f>
        <v>0</v>
      </c>
      <c r="AJ300" s="36">
        <f>SUM(AJ301:AJ304)</f>
        <v>0</v>
      </c>
      <c r="AK300" s="36">
        <f>SUM(AK301:AK304)</f>
        <v>123288880</v>
      </c>
      <c r="AL300" s="36">
        <f t="shared" si="175"/>
        <v>0</v>
      </c>
      <c r="AM300" s="36">
        <f t="shared" si="176"/>
        <v>123288880</v>
      </c>
    </row>
    <row r="301" spans="1:39" ht="12.75">
      <c r="A301" s="29">
        <v>4010</v>
      </c>
      <c r="C301" s="1" t="s">
        <v>489</v>
      </c>
      <c r="D301" s="25"/>
      <c r="E301" s="25"/>
      <c r="F301" s="25"/>
      <c r="G301" s="25"/>
      <c r="H301" s="25"/>
      <c r="I301" s="25">
        <f>'[1]odhodki-post-konti (2)'!Q1397</f>
        <v>55551600</v>
      </c>
      <c r="J301" s="25">
        <v>54443142.6</v>
      </c>
      <c r="K301" s="25">
        <v>60314500</v>
      </c>
      <c r="L301" s="59">
        <f>K301/J301*100</f>
        <v>110.78438370675539</v>
      </c>
      <c r="M301" s="25">
        <v>61437002</v>
      </c>
      <c r="N301" s="26">
        <f>M301/$M$285</f>
        <v>0.0037638959198302824</v>
      </c>
      <c r="O301" s="25">
        <v>57678002</v>
      </c>
      <c r="P301" s="26">
        <f>O301/$O$285</f>
        <v>0.004104842471243712</v>
      </c>
      <c r="Q301" s="59">
        <f t="shared" si="178"/>
        <v>105.94172056482279</v>
      </c>
      <c r="R301" s="59">
        <f>O301/M301*100</f>
        <v>93.88153738361127</v>
      </c>
      <c r="S301" s="25">
        <v>68623070</v>
      </c>
      <c r="T301" s="26">
        <f>S301/$S$285</f>
        <v>0.004213236238271619</v>
      </c>
      <c r="U301" s="59">
        <f>S301/M301*100</f>
        <v>111.69664496324219</v>
      </c>
      <c r="V301" s="59">
        <f>S301/O301*100</f>
        <v>118.9761566290039</v>
      </c>
      <c r="W301" s="25">
        <v>72819040</v>
      </c>
      <c r="X301" s="59">
        <f>W301/S301*100</f>
        <v>106.11451804764782</v>
      </c>
      <c r="Y301" s="25"/>
      <c r="Z301" s="59"/>
      <c r="AA301" s="25"/>
      <c r="AB301" s="59"/>
      <c r="AC301" s="25"/>
      <c r="AD301" s="25"/>
      <c r="AE301" s="25"/>
      <c r="AF301" s="25"/>
      <c r="AI301" s="25"/>
      <c r="AJ301" s="25"/>
      <c r="AK301" s="25">
        <v>68623070</v>
      </c>
      <c r="AL301" s="25">
        <f t="shared" si="175"/>
        <v>0</v>
      </c>
      <c r="AM301" s="25">
        <f t="shared" si="176"/>
        <v>68623070</v>
      </c>
    </row>
    <row r="302" spans="1:39" ht="12.75">
      <c r="A302" s="29">
        <v>4011</v>
      </c>
      <c r="C302" s="1" t="s">
        <v>490</v>
      </c>
      <c r="D302" s="25"/>
      <c r="E302" s="25"/>
      <c r="F302" s="25"/>
      <c r="G302" s="25"/>
      <c r="H302" s="25"/>
      <c r="I302" s="25">
        <f>'[1]odhodki-post-konti (2)'!R1397</f>
        <v>43248750</v>
      </c>
      <c r="J302" s="25">
        <v>42385679.8</v>
      </c>
      <c r="K302" s="25">
        <v>46956600</v>
      </c>
      <c r="L302" s="59">
        <f>K302/J302*100</f>
        <v>110.78411440271393</v>
      </c>
      <c r="M302" s="25">
        <v>47831400</v>
      </c>
      <c r="N302" s="26">
        <f>M302/$M$285</f>
        <v>0.0029303580161637796</v>
      </c>
      <c r="O302" s="25">
        <v>44866200</v>
      </c>
      <c r="P302" s="26">
        <f>O302/$O$285</f>
        <v>0.0031930489423561276</v>
      </c>
      <c r="Q302" s="59">
        <f t="shared" si="178"/>
        <v>105.85226003618327</v>
      </c>
      <c r="R302" s="59">
        <f>O302/M302*100</f>
        <v>93.80072504672663</v>
      </c>
      <c r="S302" s="25">
        <v>53425200</v>
      </c>
      <c r="T302" s="26">
        <f>S302/$S$285</f>
        <v>0.0032801358009326735</v>
      </c>
      <c r="U302" s="59">
        <f>S302/M302*100</f>
        <v>111.6948280836438</v>
      </c>
      <c r="V302" s="59">
        <f>S302/O302*100</f>
        <v>119.0767214517833</v>
      </c>
      <c r="W302" s="25">
        <v>56691900</v>
      </c>
      <c r="X302" s="59">
        <f>W302/S302*100</f>
        <v>106.11453022169313</v>
      </c>
      <c r="Y302" s="25"/>
      <c r="Z302" s="59"/>
      <c r="AA302" s="25"/>
      <c r="AB302" s="59"/>
      <c r="AC302" s="25"/>
      <c r="AD302" s="25"/>
      <c r="AE302" s="25"/>
      <c r="AF302" s="25"/>
      <c r="AI302" s="25"/>
      <c r="AJ302" s="25"/>
      <c r="AK302" s="25">
        <v>53425200</v>
      </c>
      <c r="AL302" s="25">
        <f t="shared" si="175"/>
        <v>0</v>
      </c>
      <c r="AM302" s="25">
        <f t="shared" si="176"/>
        <v>53425200</v>
      </c>
    </row>
    <row r="303" spans="1:39" ht="12.75">
      <c r="A303" s="29">
        <v>4012</v>
      </c>
      <c r="C303" s="1" t="s">
        <v>491</v>
      </c>
      <c r="D303" s="25"/>
      <c r="E303" s="25"/>
      <c r="F303" s="25"/>
      <c r="G303" s="25"/>
      <c r="H303" s="25"/>
      <c r="I303" s="25">
        <f>'[1]odhodki-post-konti (2)'!S1397</f>
        <v>376800</v>
      </c>
      <c r="J303" s="25">
        <v>369108.4</v>
      </c>
      <c r="K303" s="25">
        <v>409000</v>
      </c>
      <c r="L303" s="59">
        <f>K303/J303*100</f>
        <v>110.80755680445094</v>
      </c>
      <c r="M303" s="25">
        <v>416600</v>
      </c>
      <c r="N303" s="26">
        <f>M303/$M$285</f>
        <v>2.552271414873557E-05</v>
      </c>
      <c r="O303" s="25">
        <v>393400</v>
      </c>
      <c r="P303" s="26">
        <f>O303/$O$285</f>
        <v>2.799758958688056E-05</v>
      </c>
      <c r="Q303" s="59">
        <f t="shared" si="178"/>
        <v>106.58115610481906</v>
      </c>
      <c r="R303" s="59">
        <f>O303/M303*100</f>
        <v>94.43110897743638</v>
      </c>
      <c r="S303" s="25">
        <v>465230</v>
      </c>
      <c r="T303" s="26">
        <f>S303/$S$285</f>
        <v>2.8563628749502252E-05</v>
      </c>
      <c r="U303" s="59">
        <f>S303/M303*100</f>
        <v>111.67306769083054</v>
      </c>
      <c r="V303" s="59">
        <f>S303/O303*100</f>
        <v>118.25876970005085</v>
      </c>
      <c r="W303" s="25">
        <v>493690</v>
      </c>
      <c r="X303" s="59">
        <f>W303/S303*100</f>
        <v>106.11740429464996</v>
      </c>
      <c r="Y303" s="25"/>
      <c r="Z303" s="59"/>
      <c r="AA303" s="25"/>
      <c r="AB303" s="59"/>
      <c r="AC303" s="25"/>
      <c r="AD303" s="25"/>
      <c r="AE303" s="25"/>
      <c r="AF303" s="25"/>
      <c r="AI303" s="25"/>
      <c r="AJ303" s="25"/>
      <c r="AK303" s="25">
        <v>465230</v>
      </c>
      <c r="AL303" s="25">
        <f t="shared" si="175"/>
        <v>0</v>
      </c>
      <c r="AM303" s="25">
        <f t="shared" si="176"/>
        <v>465230</v>
      </c>
    </row>
    <row r="304" spans="1:39" ht="12.75">
      <c r="A304" s="29">
        <v>4013</v>
      </c>
      <c r="C304" s="1" t="s">
        <v>492</v>
      </c>
      <c r="D304" s="25"/>
      <c r="E304" s="25"/>
      <c r="F304" s="25"/>
      <c r="G304" s="25"/>
      <c r="H304" s="25"/>
      <c r="I304" s="25">
        <f>'[1]odhodki-post-konti (2)'!T1397</f>
        <v>627900</v>
      </c>
      <c r="J304" s="25">
        <v>615172.5</v>
      </c>
      <c r="K304" s="25">
        <v>681700</v>
      </c>
      <c r="L304" s="59">
        <f>K304/J304*100</f>
        <v>110.81444635447781</v>
      </c>
      <c r="M304" s="25">
        <v>694400</v>
      </c>
      <c r="N304" s="26">
        <f>M304/$M$285</f>
        <v>4.254194120230912E-05</v>
      </c>
      <c r="O304" s="25">
        <v>654400</v>
      </c>
      <c r="P304" s="26">
        <f>O304/$O$285</f>
        <v>4.6572502861348855E-05</v>
      </c>
      <c r="Q304" s="59">
        <f t="shared" si="178"/>
        <v>106.37666670730567</v>
      </c>
      <c r="R304" s="59">
        <f>O304/M304*100</f>
        <v>94.23963133640552</v>
      </c>
      <c r="S304" s="25">
        <v>775380</v>
      </c>
      <c r="T304" s="26">
        <f>S304/$S$285</f>
        <v>4.760584325986943E-05</v>
      </c>
      <c r="U304" s="59">
        <f>S304/M304*100</f>
        <v>111.66186635944702</v>
      </c>
      <c r="V304" s="59">
        <f>S304/O304*100</f>
        <v>118.48716381418092</v>
      </c>
      <c r="W304" s="25">
        <v>822790</v>
      </c>
      <c r="X304" s="59">
        <f>W304/S304*100</f>
        <v>106.1144213159999</v>
      </c>
      <c r="Y304" s="25"/>
      <c r="Z304" s="59"/>
      <c r="AA304" s="25"/>
      <c r="AB304" s="59"/>
      <c r="AC304" s="25"/>
      <c r="AD304" s="25"/>
      <c r="AE304" s="25"/>
      <c r="AF304" s="25"/>
      <c r="AI304" s="25"/>
      <c r="AJ304" s="25"/>
      <c r="AK304" s="25">
        <v>775380</v>
      </c>
      <c r="AL304" s="25">
        <f t="shared" si="175"/>
        <v>0</v>
      </c>
      <c r="AM304" s="25">
        <f t="shared" si="176"/>
        <v>775380</v>
      </c>
    </row>
    <row r="305" spans="1:39" ht="12.75">
      <c r="A305" s="29"/>
      <c r="D305" s="25"/>
      <c r="E305" s="25"/>
      <c r="F305" s="25"/>
      <c r="G305" s="25"/>
      <c r="H305" s="25"/>
      <c r="I305" s="25"/>
      <c r="J305" s="25"/>
      <c r="K305" s="25"/>
      <c r="L305" s="59"/>
      <c r="M305" s="25"/>
      <c r="N305" s="26"/>
      <c r="O305" s="25"/>
      <c r="P305" s="26"/>
      <c r="Q305" s="59" t="e">
        <f t="shared" si="178"/>
        <v>#DIV/0!</v>
      </c>
      <c r="R305" s="59"/>
      <c r="S305" s="25"/>
      <c r="T305" s="26"/>
      <c r="U305" s="59"/>
      <c r="V305" s="59"/>
      <c r="W305" s="25"/>
      <c r="X305" s="59"/>
      <c r="Y305" s="25"/>
      <c r="Z305" s="59"/>
      <c r="AA305" s="25"/>
      <c r="AB305" s="59"/>
      <c r="AC305" s="25"/>
      <c r="AD305" s="25"/>
      <c r="AE305" s="25"/>
      <c r="AF305" s="25"/>
      <c r="AI305" s="25"/>
      <c r="AJ305" s="25"/>
      <c r="AK305" s="25"/>
      <c r="AL305" s="25">
        <f t="shared" si="175"/>
        <v>0</v>
      </c>
      <c r="AM305" s="25">
        <f t="shared" si="176"/>
        <v>0</v>
      </c>
    </row>
    <row r="306" spans="1:39" s="35" customFormat="1" ht="12.75">
      <c r="A306" s="34">
        <v>402</v>
      </c>
      <c r="C306" s="35" t="s">
        <v>493</v>
      </c>
      <c r="D306" s="36">
        <f aca="true" t="shared" si="189" ref="D306:K306">SUM(D307:D315)</f>
        <v>0</v>
      </c>
      <c r="E306" s="36">
        <f t="shared" si="189"/>
        <v>0</v>
      </c>
      <c r="F306" s="36">
        <f t="shared" si="189"/>
        <v>0</v>
      </c>
      <c r="G306" s="36">
        <f t="shared" si="189"/>
        <v>0</v>
      </c>
      <c r="H306" s="36">
        <f t="shared" si="189"/>
        <v>0</v>
      </c>
      <c r="I306" s="36">
        <f t="shared" si="189"/>
        <v>983577246</v>
      </c>
      <c r="J306" s="36">
        <f t="shared" si="189"/>
        <v>990438418.13</v>
      </c>
      <c r="K306" s="36">
        <f t="shared" si="189"/>
        <v>1008152600</v>
      </c>
      <c r="L306" s="37">
        <f aca="true" t="shared" si="190" ref="L306:L315">K306/J306*100</f>
        <v>101.78851926033374</v>
      </c>
      <c r="M306" s="36">
        <f>SUM(M307:M315)</f>
        <v>1324800265</v>
      </c>
      <c r="N306" s="38">
        <f aca="true" t="shared" si="191" ref="N306:N315">M306/$M$285</f>
        <v>0.0811629823998179</v>
      </c>
      <c r="O306" s="36">
        <f>SUM(O307:O315)</f>
        <v>1070281487</v>
      </c>
      <c r="P306" s="38">
        <f aca="true" t="shared" si="192" ref="P306:P315">O306/$O$285</f>
        <v>0.07617006053752476</v>
      </c>
      <c r="Q306" s="37">
        <f t="shared" si="178"/>
        <v>108.06138649394758</v>
      </c>
      <c r="R306" s="37">
        <f aca="true" t="shared" si="193" ref="R306:R315">O306/M306*100</f>
        <v>80.78813956155119</v>
      </c>
      <c r="S306" s="36">
        <f>SUM(S307:S315)</f>
        <v>1074068074</v>
      </c>
      <c r="T306" s="38">
        <f aca="true" t="shared" si="194" ref="T306:T315">S306/$S$285</f>
        <v>0.06594433230322402</v>
      </c>
      <c r="U306" s="37">
        <f aca="true" t="shared" si="195" ref="U306:U315">S306/M306*100</f>
        <v>81.07396279846004</v>
      </c>
      <c r="V306" s="37">
        <f aca="true" t="shared" si="196" ref="V306:V315">S306/O306*100</f>
        <v>100.35379356234722</v>
      </c>
      <c r="W306" s="36">
        <f>SUM(W307:W315)</f>
        <v>1138578371</v>
      </c>
      <c r="X306" s="37">
        <f aca="true" t="shared" si="197" ref="X306:X315">W306/S306*100</f>
        <v>106.00616465209262</v>
      </c>
      <c r="Y306" s="36">
        <f>SUM(Y307:Y315)</f>
        <v>0</v>
      </c>
      <c r="Z306" s="37"/>
      <c r="AA306" s="36">
        <f>SUM(AA307:AA315)</f>
        <v>0</v>
      </c>
      <c r="AB306" s="37"/>
      <c r="AC306" s="36"/>
      <c r="AD306" s="36"/>
      <c r="AE306" s="36"/>
      <c r="AF306" s="36"/>
      <c r="AI306" s="36">
        <f>SUM(AI307:AI315)</f>
        <v>0</v>
      </c>
      <c r="AJ306" s="36">
        <f>SUM(AJ307:AJ315)</f>
        <v>0</v>
      </c>
      <c r="AK306" s="36">
        <f>SUM(AK307:AK315)</f>
        <v>1069678333</v>
      </c>
      <c r="AL306" s="36">
        <f t="shared" si="175"/>
        <v>0</v>
      </c>
      <c r="AM306" s="36">
        <f t="shared" si="176"/>
        <v>1069678333</v>
      </c>
    </row>
    <row r="307" spans="1:39" ht="12.75">
      <c r="A307" s="29">
        <v>4020</v>
      </c>
      <c r="C307" s="1" t="s">
        <v>494</v>
      </c>
      <c r="D307" s="25"/>
      <c r="E307" s="25"/>
      <c r="F307" s="25"/>
      <c r="G307" s="25"/>
      <c r="H307" s="25"/>
      <c r="I307" s="25">
        <f>'[1]odhodki-post-konti (2)'!U1397</f>
        <v>289975696</v>
      </c>
      <c r="J307" s="25">
        <v>248380484.59</v>
      </c>
      <c r="K307" s="25">
        <v>290095700</v>
      </c>
      <c r="L307" s="59">
        <f t="shared" si="190"/>
        <v>116.79488446077357</v>
      </c>
      <c r="M307" s="25">
        <v>309903399</v>
      </c>
      <c r="N307" s="26">
        <f t="shared" si="191"/>
        <v>0.018986019842531312</v>
      </c>
      <c r="O307" s="25">
        <v>220900821</v>
      </c>
      <c r="P307" s="26">
        <f t="shared" si="192"/>
        <v>0.015721124874842313</v>
      </c>
      <c r="Q307" s="59">
        <f t="shared" si="178"/>
        <v>88.93646429776457</v>
      </c>
      <c r="R307" s="59">
        <f t="shared" si="193"/>
        <v>71.28054152126289</v>
      </c>
      <c r="S307" s="25">
        <v>282458041</v>
      </c>
      <c r="T307" s="26">
        <f t="shared" si="194"/>
        <v>0.017342017110753144</v>
      </c>
      <c r="U307" s="59">
        <f t="shared" si="195"/>
        <v>91.14389900576728</v>
      </c>
      <c r="V307" s="59">
        <f t="shared" si="196"/>
        <v>127.86645143342406</v>
      </c>
      <c r="W307" s="25">
        <v>353205988</v>
      </c>
      <c r="X307" s="59">
        <f t="shared" si="197"/>
        <v>125.04724126441138</v>
      </c>
      <c r="Y307" s="25"/>
      <c r="Z307" s="59"/>
      <c r="AA307" s="25"/>
      <c r="AB307" s="59"/>
      <c r="AC307" s="25"/>
      <c r="AD307" s="25"/>
      <c r="AE307" s="25"/>
      <c r="AF307" s="25"/>
      <c r="AI307" s="25"/>
      <c r="AJ307" s="25"/>
      <c r="AK307" s="25">
        <v>233214200</v>
      </c>
      <c r="AL307" s="25">
        <f t="shared" si="175"/>
        <v>0</v>
      </c>
      <c r="AM307" s="25">
        <f t="shared" si="176"/>
        <v>233214200</v>
      </c>
    </row>
    <row r="308" spans="1:39" ht="12.75">
      <c r="A308" s="29">
        <v>4021</v>
      </c>
      <c r="C308" s="1" t="s">
        <v>495</v>
      </c>
      <c r="D308" s="25"/>
      <c r="E308" s="25"/>
      <c r="F308" s="25"/>
      <c r="G308" s="25"/>
      <c r="H308" s="25"/>
      <c r="I308" s="25">
        <f>'[1]odhodki-post-konti (2)'!V1397</f>
        <v>8121200</v>
      </c>
      <c r="J308" s="25">
        <v>7606329.56</v>
      </c>
      <c r="K308" s="25">
        <v>9921200</v>
      </c>
      <c r="L308" s="59">
        <f t="shared" si="190"/>
        <v>130.4334754593515</v>
      </c>
      <c r="M308" s="25">
        <v>13354061</v>
      </c>
      <c r="N308" s="26">
        <f t="shared" si="191"/>
        <v>0.0008181274162932739</v>
      </c>
      <c r="O308" s="25">
        <v>10610116</v>
      </c>
      <c r="P308" s="26">
        <f t="shared" si="192"/>
        <v>0.0007551033890116798</v>
      </c>
      <c r="Q308" s="59">
        <f t="shared" si="178"/>
        <v>139.49061654909417</v>
      </c>
      <c r="R308" s="59">
        <f t="shared" si="193"/>
        <v>79.45235535467451</v>
      </c>
      <c r="S308" s="25">
        <v>8180800</v>
      </c>
      <c r="T308" s="26">
        <f t="shared" si="194"/>
        <v>0.0005022748620551727</v>
      </c>
      <c r="U308" s="59">
        <f t="shared" si="195"/>
        <v>61.26076554540225</v>
      </c>
      <c r="V308" s="59">
        <f t="shared" si="196"/>
        <v>77.10377530273938</v>
      </c>
      <c r="W308" s="25">
        <v>7950500</v>
      </c>
      <c r="X308" s="59">
        <f t="shared" si="197"/>
        <v>97.18487189516918</v>
      </c>
      <c r="Y308" s="25"/>
      <c r="Z308" s="59"/>
      <c r="AA308" s="25"/>
      <c r="AB308" s="59"/>
      <c r="AC308" s="25"/>
      <c r="AD308" s="25"/>
      <c r="AE308" s="25"/>
      <c r="AF308" s="25"/>
      <c r="AI308" s="25"/>
      <c r="AJ308" s="25"/>
      <c r="AK308" s="25">
        <v>8180800</v>
      </c>
      <c r="AL308" s="25">
        <f t="shared" si="175"/>
        <v>0</v>
      </c>
      <c r="AM308" s="25">
        <f t="shared" si="176"/>
        <v>8180800</v>
      </c>
    </row>
    <row r="309" spans="1:39" ht="12.75">
      <c r="A309" s="29">
        <v>4022</v>
      </c>
      <c r="C309" s="1" t="s">
        <v>496</v>
      </c>
      <c r="D309" s="25"/>
      <c r="E309" s="25"/>
      <c r="F309" s="25"/>
      <c r="G309" s="25"/>
      <c r="H309" s="25"/>
      <c r="I309" s="25">
        <f>'[1]odhodki-post-konti (2)'!W1397</f>
        <v>95108400</v>
      </c>
      <c r="J309" s="25">
        <v>248362406.89</v>
      </c>
      <c r="K309" s="25">
        <v>96762300</v>
      </c>
      <c r="L309" s="59">
        <f t="shared" si="190"/>
        <v>38.960123318041504</v>
      </c>
      <c r="M309" s="25">
        <v>277904069</v>
      </c>
      <c r="N309" s="26">
        <f t="shared" si="191"/>
        <v>0.01702560276970112</v>
      </c>
      <c r="O309" s="25">
        <v>281431269</v>
      </c>
      <c r="P309" s="26">
        <f t="shared" si="192"/>
        <v>0.02002897093639294</v>
      </c>
      <c r="Q309" s="59">
        <f t="shared" si="178"/>
        <v>113.31476149071395</v>
      </c>
      <c r="R309" s="59">
        <f t="shared" si="193"/>
        <v>101.26921495345216</v>
      </c>
      <c r="S309" s="25">
        <v>292643000</v>
      </c>
      <c r="T309" s="26">
        <f t="shared" si="194"/>
        <v>0.017967340902651566</v>
      </c>
      <c r="U309" s="59">
        <f t="shared" si="195"/>
        <v>105.30360388497945</v>
      </c>
      <c r="V309" s="59">
        <f t="shared" si="196"/>
        <v>103.9838256210258</v>
      </c>
      <c r="W309" s="25">
        <v>316734400</v>
      </c>
      <c r="X309" s="59">
        <f t="shared" si="197"/>
        <v>108.23235136326514</v>
      </c>
      <c r="Y309" s="25"/>
      <c r="Z309" s="59"/>
      <c r="AA309" s="25"/>
      <c r="AB309" s="59"/>
      <c r="AC309" s="25"/>
      <c r="AD309" s="25"/>
      <c r="AE309" s="25"/>
      <c r="AF309" s="25"/>
      <c r="AI309" s="25"/>
      <c r="AJ309" s="25"/>
      <c r="AK309" s="25">
        <v>296943000</v>
      </c>
      <c r="AL309" s="25">
        <f t="shared" si="175"/>
        <v>0</v>
      </c>
      <c r="AM309" s="25">
        <f t="shared" si="176"/>
        <v>296943000</v>
      </c>
    </row>
    <row r="310" spans="1:39" ht="12.75">
      <c r="A310" s="29">
        <v>4023</v>
      </c>
      <c r="C310" s="1" t="s">
        <v>497</v>
      </c>
      <c r="D310" s="25"/>
      <c r="E310" s="25"/>
      <c r="F310" s="25"/>
      <c r="G310" s="25"/>
      <c r="H310" s="25"/>
      <c r="I310" s="25">
        <f>'[1]odhodki-post-konti (2)'!X1397</f>
        <v>12150000</v>
      </c>
      <c r="J310" s="25">
        <v>13225518.99</v>
      </c>
      <c r="K310" s="25">
        <v>12150000</v>
      </c>
      <c r="L310" s="59">
        <f t="shared" si="190"/>
        <v>91.86785039730225</v>
      </c>
      <c r="M310" s="25">
        <v>13931434</v>
      </c>
      <c r="N310" s="26">
        <f t="shared" si="191"/>
        <v>0.0008534997783580792</v>
      </c>
      <c r="O310" s="25">
        <v>12709712</v>
      </c>
      <c r="P310" s="26">
        <f t="shared" si="192"/>
        <v>0.0009045279622355132</v>
      </c>
      <c r="Q310" s="59">
        <f t="shared" si="178"/>
        <v>96.09991116121788</v>
      </c>
      <c r="R310" s="59">
        <f t="shared" si="193"/>
        <v>91.23046486097554</v>
      </c>
      <c r="S310" s="25">
        <v>13450000</v>
      </c>
      <c r="T310" s="26">
        <f t="shared" si="194"/>
        <v>0.0008257868294839225</v>
      </c>
      <c r="U310" s="59">
        <f t="shared" si="195"/>
        <v>96.5442609856243</v>
      </c>
      <c r="V310" s="59">
        <f t="shared" si="196"/>
        <v>105.82458516762614</v>
      </c>
      <c r="W310" s="25">
        <v>12450000</v>
      </c>
      <c r="X310" s="59">
        <f t="shared" si="197"/>
        <v>92.56505576208178</v>
      </c>
      <c r="Y310" s="25"/>
      <c r="Z310" s="59"/>
      <c r="AA310" s="25"/>
      <c r="AB310" s="59"/>
      <c r="AC310" s="25"/>
      <c r="AD310" s="25"/>
      <c r="AE310" s="25"/>
      <c r="AF310" s="25"/>
      <c r="AI310" s="25"/>
      <c r="AJ310" s="25"/>
      <c r="AK310" s="25">
        <v>13450000</v>
      </c>
      <c r="AL310" s="25">
        <f t="shared" si="175"/>
        <v>0</v>
      </c>
      <c r="AM310" s="25">
        <f t="shared" si="176"/>
        <v>13450000</v>
      </c>
    </row>
    <row r="311" spans="1:39" ht="12.75">
      <c r="A311" s="29">
        <v>4024</v>
      </c>
      <c r="C311" s="1" t="s">
        <v>498</v>
      </c>
      <c r="D311" s="25"/>
      <c r="E311" s="25"/>
      <c r="F311" s="25"/>
      <c r="G311" s="25"/>
      <c r="H311" s="25"/>
      <c r="I311" s="25">
        <f>'[1]odhodki-post-konti (2)'!Y1397</f>
        <v>14923000</v>
      </c>
      <c r="J311" s="25">
        <v>8241755.77</v>
      </c>
      <c r="K311" s="25">
        <v>16291000</v>
      </c>
      <c r="L311" s="59">
        <f t="shared" si="190"/>
        <v>197.66419261414248</v>
      </c>
      <c r="M311" s="25">
        <f>23580100+40000</f>
        <v>23620100</v>
      </c>
      <c r="N311" s="26">
        <f t="shared" si="191"/>
        <v>0.0014470692761991096</v>
      </c>
      <c r="O311" s="25">
        <v>11636645</v>
      </c>
      <c r="P311" s="26">
        <f t="shared" si="192"/>
        <v>0.0008281596616121651</v>
      </c>
      <c r="Q311" s="59">
        <f t="shared" si="178"/>
        <v>141.1913350108893</v>
      </c>
      <c r="R311" s="59">
        <f t="shared" si="193"/>
        <v>49.265858315587145</v>
      </c>
      <c r="S311" s="25">
        <v>15789000</v>
      </c>
      <c r="T311" s="26">
        <f t="shared" si="194"/>
        <v>0.00096939392198674</v>
      </c>
      <c r="U311" s="59">
        <f t="shared" si="195"/>
        <v>66.84561030647626</v>
      </c>
      <c r="V311" s="59">
        <f t="shared" si="196"/>
        <v>135.68343796687103</v>
      </c>
      <c r="W311" s="25">
        <f>12402100+40000</f>
        <v>12442100</v>
      </c>
      <c r="X311" s="59">
        <f t="shared" si="197"/>
        <v>78.80233073658877</v>
      </c>
      <c r="Y311" s="25"/>
      <c r="Z311" s="59"/>
      <c r="AA311" s="25"/>
      <c r="AB311" s="59"/>
      <c r="AC311" s="25"/>
      <c r="AD311" s="25"/>
      <c r="AE311" s="25"/>
      <c r="AF311" s="25"/>
      <c r="AI311" s="25"/>
      <c r="AJ311" s="25"/>
      <c r="AK311" s="25">
        <f>13949000+40000</f>
        <v>13989000</v>
      </c>
      <c r="AL311" s="25">
        <f t="shared" si="175"/>
        <v>0</v>
      </c>
      <c r="AM311" s="25">
        <f t="shared" si="176"/>
        <v>13989000</v>
      </c>
    </row>
    <row r="312" spans="1:39" ht="12.75">
      <c r="A312" s="29">
        <v>4025</v>
      </c>
      <c r="C312" s="1" t="s">
        <v>499</v>
      </c>
      <c r="D312" s="25"/>
      <c r="E312" s="25"/>
      <c r="F312" s="25"/>
      <c r="G312" s="25"/>
      <c r="H312" s="25"/>
      <c r="I312" s="25">
        <f>'[1]odhodki-post-konti (2)'!Z1397</f>
        <v>87662900</v>
      </c>
      <c r="J312" s="25">
        <v>79282389.93</v>
      </c>
      <c r="K312" s="25">
        <v>102819000</v>
      </c>
      <c r="L312" s="59">
        <f t="shared" si="190"/>
        <v>129.68705924579334</v>
      </c>
      <c r="M312" s="25">
        <v>110384515</v>
      </c>
      <c r="N312" s="26">
        <f t="shared" si="191"/>
        <v>0.0067626318357940805</v>
      </c>
      <c r="O312" s="25">
        <v>103120859</v>
      </c>
      <c r="P312" s="26">
        <f t="shared" si="192"/>
        <v>0.007338931083194149</v>
      </c>
      <c r="Q312" s="59">
        <f t="shared" si="178"/>
        <v>130.06779827279104</v>
      </c>
      <c r="R312" s="59">
        <f t="shared" si="193"/>
        <v>93.41967847573548</v>
      </c>
      <c r="S312" s="25">
        <v>123961000</v>
      </c>
      <c r="T312" s="26">
        <f t="shared" si="194"/>
        <v>0.007610807521907548</v>
      </c>
      <c r="U312" s="59">
        <f t="shared" si="195"/>
        <v>112.29926588887945</v>
      </c>
      <c r="V312" s="59">
        <f t="shared" si="196"/>
        <v>120.20943308860528</v>
      </c>
      <c r="W312" s="25">
        <v>99627639</v>
      </c>
      <c r="X312" s="59">
        <f t="shared" si="197"/>
        <v>80.37014786908786</v>
      </c>
      <c r="Y312" s="25"/>
      <c r="Z312" s="59"/>
      <c r="AA312" s="25"/>
      <c r="AB312" s="59"/>
      <c r="AC312" s="25"/>
      <c r="AD312" s="25"/>
      <c r="AE312" s="25"/>
      <c r="AF312" s="25"/>
      <c r="AI312" s="25"/>
      <c r="AJ312" s="25"/>
      <c r="AK312" s="25">
        <v>123961000</v>
      </c>
      <c r="AL312" s="25">
        <f t="shared" si="175"/>
        <v>0</v>
      </c>
      <c r="AM312" s="25">
        <f t="shared" si="176"/>
        <v>123961000</v>
      </c>
    </row>
    <row r="313" spans="1:39" ht="12.75">
      <c r="A313" s="29">
        <v>4026</v>
      </c>
      <c r="C313" s="1" t="s">
        <v>500</v>
      </c>
      <c r="D313" s="25"/>
      <c r="E313" s="25"/>
      <c r="F313" s="25"/>
      <c r="G313" s="25"/>
      <c r="H313" s="25"/>
      <c r="I313" s="25">
        <f>'[1]odhodki-post-konti (2)'!AA1397</f>
        <v>54877400</v>
      </c>
      <c r="J313" s="25">
        <v>61558035.47</v>
      </c>
      <c r="K313" s="25">
        <v>54600000</v>
      </c>
      <c r="L313" s="59">
        <f t="shared" si="190"/>
        <v>88.69678764620265</v>
      </c>
      <c r="M313" s="25">
        <v>67733829</v>
      </c>
      <c r="N313" s="26">
        <f t="shared" si="191"/>
        <v>0.004149666720514488</v>
      </c>
      <c r="O313" s="25">
        <v>59642856</v>
      </c>
      <c r="P313" s="26">
        <f t="shared" si="192"/>
        <v>0.004244677692113413</v>
      </c>
      <c r="Q313" s="59">
        <f t="shared" si="178"/>
        <v>96.88882295320592</v>
      </c>
      <c r="R313" s="59">
        <f t="shared" si="193"/>
        <v>88.05475326073771</v>
      </c>
      <c r="S313" s="25">
        <v>47281000</v>
      </c>
      <c r="T313" s="26">
        <f t="shared" si="194"/>
        <v>0.0029029016419947467</v>
      </c>
      <c r="U313" s="59">
        <f t="shared" si="195"/>
        <v>69.80411516378322</v>
      </c>
      <c r="V313" s="59">
        <f t="shared" si="196"/>
        <v>79.27353445314557</v>
      </c>
      <c r="W313" s="25">
        <v>62671000</v>
      </c>
      <c r="X313" s="59">
        <f t="shared" si="197"/>
        <v>132.55007296799982</v>
      </c>
      <c r="Y313" s="25"/>
      <c r="Z313" s="59"/>
      <c r="AA313" s="25"/>
      <c r="AB313" s="59"/>
      <c r="AC313" s="25"/>
      <c r="AD313" s="25"/>
      <c r="AE313" s="25"/>
      <c r="AF313" s="25"/>
      <c r="AI313" s="25"/>
      <c r="AJ313" s="25"/>
      <c r="AK313" s="25">
        <v>46005100</v>
      </c>
      <c r="AL313" s="25">
        <f t="shared" si="175"/>
        <v>0</v>
      </c>
      <c r="AM313" s="25">
        <f t="shared" si="176"/>
        <v>46005100</v>
      </c>
    </row>
    <row r="314" spans="1:39" ht="12.75">
      <c r="A314" s="29">
        <v>4027</v>
      </c>
      <c r="C314" s="1" t="s">
        <v>501</v>
      </c>
      <c r="D314" s="25"/>
      <c r="E314" s="25"/>
      <c r="F314" s="25"/>
      <c r="G314" s="25"/>
      <c r="H314" s="25"/>
      <c r="I314" s="25">
        <f>'[1]odhodki-post-konti (2)'!AB1397</f>
        <v>163783000</v>
      </c>
      <c r="J314" s="25">
        <v>104245553.31</v>
      </c>
      <c r="K314" s="25">
        <v>180203000</v>
      </c>
      <c r="L314" s="59">
        <f t="shared" si="190"/>
        <v>172.8639680813259</v>
      </c>
      <c r="M314" s="25">
        <v>228246647</v>
      </c>
      <c r="N314" s="26">
        <f t="shared" si="191"/>
        <v>0.01398337476425433</v>
      </c>
      <c r="O314" s="25">
        <v>164203000</v>
      </c>
      <c r="P314" s="26">
        <f t="shared" si="192"/>
        <v>0.011686040170143743</v>
      </c>
      <c r="Q314" s="59">
        <f t="shared" si="178"/>
        <v>157.5155915875871</v>
      </c>
      <c r="R314" s="59">
        <f t="shared" si="193"/>
        <v>71.9410349103617</v>
      </c>
      <c r="S314" s="25">
        <v>60500000</v>
      </c>
      <c r="T314" s="26">
        <f t="shared" si="194"/>
        <v>0.0037145058129202466</v>
      </c>
      <c r="U314" s="59">
        <f t="shared" si="195"/>
        <v>26.50641347647048</v>
      </c>
      <c r="V314" s="59">
        <f t="shared" si="196"/>
        <v>36.84463743049762</v>
      </c>
      <c r="W314" s="25">
        <v>80550000</v>
      </c>
      <c r="X314" s="59">
        <f t="shared" si="197"/>
        <v>133.1404958677686</v>
      </c>
      <c r="Y314" s="25"/>
      <c r="Z314" s="59"/>
      <c r="AA314" s="25"/>
      <c r="AB314" s="59"/>
      <c r="AC314" s="25"/>
      <c r="AD314" s="25"/>
      <c r="AE314" s="25"/>
      <c r="AF314" s="25"/>
      <c r="AI314" s="25"/>
      <c r="AJ314" s="25"/>
      <c r="AK314" s="25">
        <v>60500000</v>
      </c>
      <c r="AL314" s="25">
        <f t="shared" si="175"/>
        <v>0</v>
      </c>
      <c r="AM314" s="25">
        <f t="shared" si="176"/>
        <v>60500000</v>
      </c>
    </row>
    <row r="315" spans="1:39" ht="12.75">
      <c r="A315" s="29">
        <v>4029</v>
      </c>
      <c r="C315" s="1" t="s">
        <v>502</v>
      </c>
      <c r="D315" s="25"/>
      <c r="E315" s="25"/>
      <c r="F315" s="25"/>
      <c r="G315" s="25"/>
      <c r="H315" s="25"/>
      <c r="I315" s="25">
        <f>'[1]odhodki-post-konti (2)'!AC1397</f>
        <v>256975650</v>
      </c>
      <c r="J315" s="25">
        <v>219535943.62</v>
      </c>
      <c r="K315" s="25">
        <v>245310400</v>
      </c>
      <c r="L315" s="59">
        <f t="shared" si="190"/>
        <v>111.74042662672751</v>
      </c>
      <c r="M315" s="25">
        <v>279722211</v>
      </c>
      <c r="N315" s="26">
        <f t="shared" si="191"/>
        <v>0.0171369899961721</v>
      </c>
      <c r="O315" s="25">
        <v>206026209</v>
      </c>
      <c r="P315" s="26">
        <f t="shared" si="192"/>
        <v>0.014662524767978845</v>
      </c>
      <c r="Q315" s="59">
        <f t="shared" si="178"/>
        <v>93.84623110127956</v>
      </c>
      <c r="R315" s="59">
        <f t="shared" si="193"/>
        <v>73.65386118730486</v>
      </c>
      <c r="S315" s="25">
        <v>229805233</v>
      </c>
      <c r="T315" s="26">
        <f t="shared" si="194"/>
        <v>0.014109303699470936</v>
      </c>
      <c r="U315" s="59">
        <f t="shared" si="195"/>
        <v>82.15480357403581</v>
      </c>
      <c r="V315" s="59">
        <f t="shared" si="196"/>
        <v>111.54174709878781</v>
      </c>
      <c r="W315" s="25">
        <v>192946744</v>
      </c>
      <c r="X315" s="59">
        <f t="shared" si="197"/>
        <v>83.96098795539612</v>
      </c>
      <c r="Y315" s="25"/>
      <c r="Z315" s="59"/>
      <c r="AA315" s="25"/>
      <c r="AB315" s="59"/>
      <c r="AC315" s="25"/>
      <c r="AD315" s="25"/>
      <c r="AE315" s="25"/>
      <c r="AF315" s="25"/>
      <c r="AI315" s="25"/>
      <c r="AJ315" s="25"/>
      <c r="AK315" s="25">
        <v>273435233</v>
      </c>
      <c r="AL315" s="25">
        <f t="shared" si="175"/>
        <v>0</v>
      </c>
      <c r="AM315" s="25">
        <f t="shared" si="176"/>
        <v>273435233</v>
      </c>
    </row>
    <row r="316" spans="1:39" ht="12.75">
      <c r="A316" s="29"/>
      <c r="D316" s="25"/>
      <c r="E316" s="25"/>
      <c r="F316" s="25"/>
      <c r="G316" s="25"/>
      <c r="H316" s="25"/>
      <c r="I316" s="25"/>
      <c r="J316" s="25"/>
      <c r="K316" s="25"/>
      <c r="L316" s="59"/>
      <c r="M316" s="25"/>
      <c r="N316" s="26"/>
      <c r="O316" s="25"/>
      <c r="P316" s="26"/>
      <c r="Q316" s="59" t="e">
        <f t="shared" si="178"/>
        <v>#DIV/0!</v>
      </c>
      <c r="R316" s="59"/>
      <c r="S316" s="25"/>
      <c r="T316" s="26"/>
      <c r="U316" s="59"/>
      <c r="V316" s="59"/>
      <c r="W316" s="25"/>
      <c r="X316" s="59"/>
      <c r="Y316" s="25"/>
      <c r="Z316" s="59"/>
      <c r="AA316" s="25"/>
      <c r="AB316" s="59"/>
      <c r="AC316" s="25"/>
      <c r="AD316" s="25"/>
      <c r="AE316" s="25"/>
      <c r="AF316" s="25"/>
      <c r="AI316" s="25"/>
      <c r="AJ316" s="25"/>
      <c r="AK316" s="25"/>
      <c r="AL316" s="25">
        <f t="shared" si="175"/>
        <v>0</v>
      </c>
      <c r="AM316" s="25">
        <f t="shared" si="176"/>
        <v>0</v>
      </c>
    </row>
    <row r="317" spans="1:39" s="35" customFormat="1" ht="12.75">
      <c r="A317" s="34">
        <v>403</v>
      </c>
      <c r="C317" s="35" t="s">
        <v>503</v>
      </c>
      <c r="D317" s="36">
        <f aca="true" t="shared" si="198" ref="D317:K317">SUM(D318:D319)</f>
        <v>0</v>
      </c>
      <c r="E317" s="36">
        <f t="shared" si="198"/>
        <v>0</v>
      </c>
      <c r="F317" s="36">
        <f t="shared" si="198"/>
        <v>0</v>
      </c>
      <c r="G317" s="36">
        <f t="shared" si="198"/>
        <v>0</v>
      </c>
      <c r="H317" s="36">
        <f t="shared" si="198"/>
        <v>0</v>
      </c>
      <c r="I317" s="36">
        <f t="shared" si="198"/>
        <v>22700000</v>
      </c>
      <c r="J317" s="36">
        <f t="shared" si="198"/>
        <v>3476084.14</v>
      </c>
      <c r="K317" s="36">
        <f t="shared" si="198"/>
        <v>23100000</v>
      </c>
      <c r="L317" s="37">
        <f>K317/J317*100</f>
        <v>664.5408761595742</v>
      </c>
      <c r="M317" s="36">
        <f>SUM(M318:M319)</f>
        <v>43100000</v>
      </c>
      <c r="N317" s="38">
        <f>M317/$M$285</f>
        <v>0.0026404920302700507</v>
      </c>
      <c r="O317" s="36">
        <f>SUM(O318:O319)</f>
        <v>1050000</v>
      </c>
      <c r="P317" s="38">
        <f>O317/$O$285</f>
        <v>7.472666259843566E-05</v>
      </c>
      <c r="Q317" s="37">
        <f t="shared" si="178"/>
        <v>30.206403461798825</v>
      </c>
      <c r="R317" s="37">
        <f>O317/M317*100</f>
        <v>2.436194895591647</v>
      </c>
      <c r="S317" s="36">
        <f>SUM(S318:S319)</f>
        <v>776000</v>
      </c>
      <c r="T317" s="38">
        <f>S317/$S$285</f>
        <v>4.764390926985308E-05</v>
      </c>
      <c r="U317" s="37">
        <f>S317/M317*100</f>
        <v>1.8004640371229699</v>
      </c>
      <c r="V317" s="37">
        <f>S317/O317*100</f>
        <v>73.90476190476191</v>
      </c>
      <c r="W317" s="36">
        <f>SUM(W318:W319)</f>
        <v>810900</v>
      </c>
      <c r="X317" s="37">
        <f>W317/S317*100</f>
        <v>104.49742268041237</v>
      </c>
      <c r="Y317" s="36">
        <f>SUM(Y318:Y319)</f>
        <v>0</v>
      </c>
      <c r="Z317" s="37"/>
      <c r="AA317" s="36">
        <f>SUM(AA318:AA319)</f>
        <v>0</v>
      </c>
      <c r="AB317" s="37"/>
      <c r="AC317" s="36"/>
      <c r="AD317" s="36"/>
      <c r="AE317" s="36"/>
      <c r="AF317" s="36"/>
      <c r="AI317" s="36">
        <f>SUM(AI318:AI319)</f>
        <v>0</v>
      </c>
      <c r="AJ317" s="36">
        <f>SUM(AJ318:AJ319)</f>
        <v>0</v>
      </c>
      <c r="AK317" s="36">
        <f>SUM(AK318:AK319)</f>
        <v>776000</v>
      </c>
      <c r="AL317" s="36">
        <f t="shared" si="175"/>
        <v>0</v>
      </c>
      <c r="AM317" s="36">
        <f t="shared" si="176"/>
        <v>776000</v>
      </c>
    </row>
    <row r="318" spans="1:39" ht="12.75">
      <c r="A318" s="29">
        <v>4031</v>
      </c>
      <c r="C318" s="1" t="s">
        <v>504</v>
      </c>
      <c r="D318" s="25"/>
      <c r="E318" s="25"/>
      <c r="F318" s="25"/>
      <c r="G318" s="25"/>
      <c r="H318" s="25"/>
      <c r="I318" s="25">
        <f>'[1]odhodki-post-konti (2)'!AD1397</f>
        <v>250000</v>
      </c>
      <c r="J318" s="25">
        <v>1739470.58</v>
      </c>
      <c r="K318" s="25">
        <v>200000</v>
      </c>
      <c r="L318" s="59">
        <f>K318/J318*100</f>
        <v>11.49775122957239</v>
      </c>
      <c r="M318" s="25">
        <v>200000</v>
      </c>
      <c r="N318" s="26">
        <f>M318/$M$285</f>
        <v>1.2252863249512997E-05</v>
      </c>
      <c r="O318" s="25">
        <v>200000</v>
      </c>
      <c r="P318" s="26">
        <f>O318/$O$285</f>
        <v>1.4233650018749649E-05</v>
      </c>
      <c r="Q318" s="59">
        <f t="shared" si="178"/>
        <v>11.49775122957239</v>
      </c>
      <c r="R318" s="59">
        <f>O318/M318*100</f>
        <v>100</v>
      </c>
      <c r="S318" s="25">
        <v>200000</v>
      </c>
      <c r="T318" s="26">
        <f>S318/$S$285</f>
        <v>1.2279358059240485E-05</v>
      </c>
      <c r="U318" s="59">
        <f>S318/M318*100</f>
        <v>100</v>
      </c>
      <c r="V318" s="59">
        <f>S318/O318*100</f>
        <v>100</v>
      </c>
      <c r="W318" s="25">
        <v>200000</v>
      </c>
      <c r="X318" s="59">
        <f>W318/S318*100</f>
        <v>100</v>
      </c>
      <c r="Y318" s="25"/>
      <c r="Z318" s="59"/>
      <c r="AA318" s="25"/>
      <c r="AB318" s="59"/>
      <c r="AC318" s="25"/>
      <c r="AD318" s="25"/>
      <c r="AE318" s="25"/>
      <c r="AF318" s="25"/>
      <c r="AI318" s="25"/>
      <c r="AJ318" s="25"/>
      <c r="AK318" s="25">
        <v>200000</v>
      </c>
      <c r="AL318" s="25">
        <f t="shared" si="175"/>
        <v>0</v>
      </c>
      <c r="AM318" s="25">
        <f t="shared" si="176"/>
        <v>200000</v>
      </c>
    </row>
    <row r="319" spans="1:39" ht="12.75">
      <c r="A319" s="29">
        <v>4033</v>
      </c>
      <c r="C319" s="1" t="s">
        <v>505</v>
      </c>
      <c r="D319" s="25"/>
      <c r="E319" s="25"/>
      <c r="F319" s="25"/>
      <c r="G319" s="25"/>
      <c r="H319" s="25"/>
      <c r="I319" s="25">
        <f>'[1]odhodki-post-konti (2)'!AE1397</f>
        <v>22450000</v>
      </c>
      <c r="J319" s="25">
        <v>1736613.56</v>
      </c>
      <c r="K319" s="25">
        <v>22900000</v>
      </c>
      <c r="L319" s="59">
        <f>K319/J319*100</f>
        <v>1318.6583663437477</v>
      </c>
      <c r="M319" s="25">
        <v>42900000</v>
      </c>
      <c r="N319" s="26">
        <f>M319/$M$285</f>
        <v>0.0026282391670205377</v>
      </c>
      <c r="O319" s="25">
        <v>850000</v>
      </c>
      <c r="P319" s="26">
        <f>O319/$O$285</f>
        <v>6.049301257968601E-05</v>
      </c>
      <c r="Q319" s="59">
        <f t="shared" si="178"/>
        <v>48.94583455861073</v>
      </c>
      <c r="R319" s="59">
        <f>O319/M319*100</f>
        <v>1.9813519813519813</v>
      </c>
      <c r="S319" s="25">
        <v>576000</v>
      </c>
      <c r="T319" s="26">
        <f>S319/$S$285</f>
        <v>3.53645512106126E-05</v>
      </c>
      <c r="U319" s="59">
        <f>S319/M319*100</f>
        <v>1.3426573426573427</v>
      </c>
      <c r="V319" s="59">
        <f>S319/O319*100</f>
        <v>67.76470588235294</v>
      </c>
      <c r="W319" s="25">
        <v>610900</v>
      </c>
      <c r="X319" s="59">
        <f>W319/S319*100</f>
        <v>106.05902777777779</v>
      </c>
      <c r="Y319" s="25"/>
      <c r="Z319" s="59"/>
      <c r="AA319" s="25"/>
      <c r="AB319" s="59"/>
      <c r="AC319" s="25"/>
      <c r="AD319" s="25"/>
      <c r="AE319" s="25"/>
      <c r="AF319" s="25"/>
      <c r="AI319" s="25"/>
      <c r="AJ319" s="25"/>
      <c r="AK319" s="25">
        <v>576000</v>
      </c>
      <c r="AL319" s="25">
        <f aca="true" t="shared" si="199" ref="AL319:AL350">AJ319-AI319</f>
        <v>0</v>
      </c>
      <c r="AM319" s="25">
        <f aca="true" t="shared" si="200" ref="AM319:AM350">AK319-AJ319</f>
        <v>576000</v>
      </c>
    </row>
    <row r="320" spans="1:39" ht="12.75">
      <c r="A320" s="29"/>
      <c r="D320" s="25"/>
      <c r="E320" s="25"/>
      <c r="F320" s="25"/>
      <c r="G320" s="25"/>
      <c r="H320" s="25"/>
      <c r="I320" s="25"/>
      <c r="J320" s="25"/>
      <c r="K320" s="25"/>
      <c r="L320" s="59"/>
      <c r="M320" s="25"/>
      <c r="N320" s="26"/>
      <c r="O320" s="25"/>
      <c r="P320" s="26"/>
      <c r="Q320" s="59" t="e">
        <f aca="true" t="shared" si="201" ref="Q320:Q351">O320/J320*100</f>
        <v>#DIV/0!</v>
      </c>
      <c r="R320" s="59"/>
      <c r="S320" s="25"/>
      <c r="T320" s="26"/>
      <c r="U320" s="59"/>
      <c r="V320" s="59"/>
      <c r="W320" s="25"/>
      <c r="X320" s="59"/>
      <c r="Y320" s="25"/>
      <c r="Z320" s="59"/>
      <c r="AA320" s="25"/>
      <c r="AB320" s="59"/>
      <c r="AC320" s="25"/>
      <c r="AD320" s="25"/>
      <c r="AE320" s="25"/>
      <c r="AF320" s="25"/>
      <c r="AI320" s="25"/>
      <c r="AJ320" s="25"/>
      <c r="AK320" s="25"/>
      <c r="AL320" s="25">
        <f t="shared" si="199"/>
        <v>0</v>
      </c>
      <c r="AM320" s="25">
        <f t="shared" si="200"/>
        <v>0</v>
      </c>
    </row>
    <row r="321" spans="1:39" s="35" customFormat="1" ht="12.75">
      <c r="A321" s="34">
        <v>409</v>
      </c>
      <c r="C321" s="35" t="s">
        <v>506</v>
      </c>
      <c r="D321" s="36">
        <f aca="true" t="shared" si="202" ref="D321:K321">SUM(D322:D324)</f>
        <v>0</v>
      </c>
      <c r="E321" s="36">
        <f t="shared" si="202"/>
        <v>0</v>
      </c>
      <c r="F321" s="36">
        <f t="shared" si="202"/>
        <v>0</v>
      </c>
      <c r="G321" s="36">
        <f t="shared" si="202"/>
        <v>0</v>
      </c>
      <c r="H321" s="36">
        <f t="shared" si="202"/>
        <v>0</v>
      </c>
      <c r="I321" s="36">
        <f t="shared" si="202"/>
        <v>71073981</v>
      </c>
      <c r="J321" s="36">
        <f t="shared" si="202"/>
        <v>58651983.5</v>
      </c>
      <c r="K321" s="36">
        <f t="shared" si="202"/>
        <v>48630430</v>
      </c>
      <c r="L321" s="37">
        <f>K321/J321*100</f>
        <v>82.91353011104901</v>
      </c>
      <c r="M321" s="36">
        <f>SUM(M322:M324)</f>
        <v>48579825</v>
      </c>
      <c r="N321" s="38">
        <f>M321/$M$285</f>
        <v>0.0029762097620513635</v>
      </c>
      <c r="O321" s="36">
        <f>SUM(O322:O324)</f>
        <v>36000000</v>
      </c>
      <c r="P321" s="38">
        <f>O321/$O$285</f>
        <v>0.002562057003374937</v>
      </c>
      <c r="Q321" s="37">
        <f t="shared" si="201"/>
        <v>61.37899837607368</v>
      </c>
      <c r="R321" s="37">
        <f>O321/M321*100</f>
        <v>74.10483673006233</v>
      </c>
      <c r="S321" s="36">
        <f>SUM(S322:S324)</f>
        <v>57473156</v>
      </c>
      <c r="T321" s="38">
        <f>S321/$S$285</f>
        <v>0.003528667306592928</v>
      </c>
      <c r="U321" s="37">
        <f>S321/M321*100</f>
        <v>118.30663449281671</v>
      </c>
      <c r="V321" s="37">
        <f>S321/O321*100</f>
        <v>159.64765555555556</v>
      </c>
      <c r="W321" s="36">
        <f>SUM(W322:W324)</f>
        <v>60819100</v>
      </c>
      <c r="X321" s="37">
        <f>W321/S321*100</f>
        <v>105.82175094056083</v>
      </c>
      <c r="Y321" s="36">
        <f>SUM(Y322:Y324)</f>
        <v>0</v>
      </c>
      <c r="Z321" s="37"/>
      <c r="AA321" s="36">
        <f>SUM(AA322:AA324)</f>
        <v>0</v>
      </c>
      <c r="AB321" s="37"/>
      <c r="AC321" s="36"/>
      <c r="AD321" s="36"/>
      <c r="AE321" s="36"/>
      <c r="AF321" s="36"/>
      <c r="AI321" s="36">
        <f>SUM(AI322:AI324)</f>
        <v>0</v>
      </c>
      <c r="AJ321" s="36">
        <f>SUM(AJ322:AJ324)</f>
        <v>0</v>
      </c>
      <c r="AK321" s="36">
        <f>SUM(AK322:AK324)</f>
        <v>57473156</v>
      </c>
      <c r="AL321" s="36">
        <f t="shared" si="199"/>
        <v>0</v>
      </c>
      <c r="AM321" s="36">
        <f t="shared" si="200"/>
        <v>57473156</v>
      </c>
    </row>
    <row r="322" spans="1:39" ht="12.75">
      <c r="A322" s="29">
        <v>4090</v>
      </c>
      <c r="C322" s="1" t="s">
        <v>507</v>
      </c>
      <c r="D322" s="25"/>
      <c r="E322" s="25"/>
      <c r="F322" s="25"/>
      <c r="G322" s="25"/>
      <c r="H322" s="25"/>
      <c r="I322" s="25">
        <f>'[1]odhodki-post-konti (2)'!AF1397</f>
        <v>9073981</v>
      </c>
      <c r="J322" s="25"/>
      <c r="K322" s="25">
        <v>22630430</v>
      </c>
      <c r="L322" s="59"/>
      <c r="M322" s="25">
        <v>22579825</v>
      </c>
      <c r="N322" s="26">
        <f>M322/$M$285</f>
        <v>0.001383337539614674</v>
      </c>
      <c r="O322" s="25">
        <v>10000000</v>
      </c>
      <c r="P322" s="26">
        <f>O322/$O$285</f>
        <v>0.0007116825009374824</v>
      </c>
      <c r="Q322" s="59" t="e">
        <f t="shared" si="201"/>
        <v>#DIV/0!</v>
      </c>
      <c r="R322" s="59"/>
      <c r="S322" s="25">
        <v>23523156</v>
      </c>
      <c r="T322" s="26">
        <f>S322/$S$285</f>
        <v>0.0014442462760368556</v>
      </c>
      <c r="U322" s="59">
        <f>S322/M322*100</f>
        <v>104.17776045651372</v>
      </c>
      <c r="V322" s="59">
        <f>S322/O322*100</f>
        <v>235.23155999999997</v>
      </c>
      <c r="W322" s="25">
        <v>25341300</v>
      </c>
      <c r="X322" s="59"/>
      <c r="Y322" s="25"/>
      <c r="Z322" s="59"/>
      <c r="AA322" s="25"/>
      <c r="AB322" s="59"/>
      <c r="AC322" s="25"/>
      <c r="AD322" s="25"/>
      <c r="AE322" s="25"/>
      <c r="AF322" s="25"/>
      <c r="AI322" s="25"/>
      <c r="AJ322" s="25"/>
      <c r="AK322" s="25">
        <v>23523156</v>
      </c>
      <c r="AL322" s="25">
        <f t="shared" si="199"/>
        <v>0</v>
      </c>
      <c r="AM322" s="25">
        <f t="shared" si="200"/>
        <v>23523156</v>
      </c>
    </row>
    <row r="323" spans="1:39" ht="12.75">
      <c r="A323" s="29">
        <v>4091</v>
      </c>
      <c r="C323" s="1" t="s">
        <v>508</v>
      </c>
      <c r="D323" s="25"/>
      <c r="E323" s="25"/>
      <c r="F323" s="25"/>
      <c r="G323" s="25"/>
      <c r="H323" s="25"/>
      <c r="I323" s="25">
        <f>'[1]odhodki-post-konti (2)'!AG1397</f>
        <v>62000000</v>
      </c>
      <c r="J323" s="25">
        <v>58651983.5</v>
      </c>
      <c r="K323" s="25">
        <v>26000000</v>
      </c>
      <c r="L323" s="59">
        <f>K323/J323*100</f>
        <v>44.329276604942095</v>
      </c>
      <c r="M323" s="25">
        <v>26000000</v>
      </c>
      <c r="N323" s="26">
        <f>M323/$M$285</f>
        <v>0.0015928722224366895</v>
      </c>
      <c r="O323" s="25">
        <v>26000000</v>
      </c>
      <c r="P323" s="26">
        <f>O323/$O$285</f>
        <v>0.0018503745024374544</v>
      </c>
      <c r="Q323" s="59">
        <f t="shared" si="201"/>
        <v>44.329276604942095</v>
      </c>
      <c r="R323" s="59">
        <f>O323/M323*100</f>
        <v>100</v>
      </c>
      <c r="S323" s="25">
        <v>33950000</v>
      </c>
      <c r="T323" s="26">
        <f>S323/$S$285</f>
        <v>0.0020844210305560724</v>
      </c>
      <c r="U323" s="59">
        <f>S323/M323*100</f>
        <v>130.57692307692307</v>
      </c>
      <c r="V323" s="59">
        <f>S323/O323*100</f>
        <v>130.57692307692307</v>
      </c>
      <c r="W323" s="25">
        <v>35477800</v>
      </c>
      <c r="X323" s="59">
        <f>W323/S323*100</f>
        <v>104.500147275405</v>
      </c>
      <c r="Y323" s="25"/>
      <c r="Z323" s="59"/>
      <c r="AA323" s="25"/>
      <c r="AB323" s="59"/>
      <c r="AC323" s="25"/>
      <c r="AD323" s="25"/>
      <c r="AE323" s="25"/>
      <c r="AF323" s="25"/>
      <c r="AI323" s="25"/>
      <c r="AJ323" s="25"/>
      <c r="AK323" s="25">
        <v>33950000</v>
      </c>
      <c r="AL323" s="25">
        <f t="shared" si="199"/>
        <v>0</v>
      </c>
      <c r="AM323" s="25">
        <f t="shared" si="200"/>
        <v>33950000</v>
      </c>
    </row>
    <row r="324" spans="1:39" ht="12.75" hidden="1">
      <c r="A324" s="29">
        <v>4092</v>
      </c>
      <c r="C324" s="1" t="s">
        <v>509</v>
      </c>
      <c r="D324" s="25"/>
      <c r="E324" s="25"/>
      <c r="F324" s="25"/>
      <c r="G324" s="25"/>
      <c r="H324" s="25"/>
      <c r="I324" s="25"/>
      <c r="J324" s="25"/>
      <c r="K324" s="25"/>
      <c r="L324" s="59"/>
      <c r="M324" s="25"/>
      <c r="N324" s="26">
        <f>M324/$M$285</f>
        <v>0</v>
      </c>
      <c r="O324" s="25"/>
      <c r="P324" s="26">
        <f>O324/$O$285</f>
        <v>0</v>
      </c>
      <c r="Q324" s="59" t="e">
        <f t="shared" si="201"/>
        <v>#DIV/0!</v>
      </c>
      <c r="R324" s="59"/>
      <c r="S324" s="25"/>
      <c r="T324" s="26">
        <f>S324/$S$285</f>
        <v>0</v>
      </c>
      <c r="U324" s="59"/>
      <c r="V324" s="59"/>
      <c r="W324" s="25"/>
      <c r="X324" s="59"/>
      <c r="Y324" s="25"/>
      <c r="Z324" s="59"/>
      <c r="AA324" s="25"/>
      <c r="AB324" s="59"/>
      <c r="AC324" s="25"/>
      <c r="AD324" s="25"/>
      <c r="AE324" s="25"/>
      <c r="AF324" s="25"/>
      <c r="AI324" s="25"/>
      <c r="AJ324" s="25"/>
      <c r="AK324" s="25"/>
      <c r="AL324" s="25">
        <f t="shared" si="199"/>
        <v>0</v>
      </c>
      <c r="AM324" s="25">
        <f t="shared" si="200"/>
        <v>0</v>
      </c>
    </row>
    <row r="325" spans="1:39" ht="12.75">
      <c r="A325" s="29"/>
      <c r="D325" s="25"/>
      <c r="E325" s="25"/>
      <c r="F325" s="25"/>
      <c r="G325" s="25"/>
      <c r="H325" s="25"/>
      <c r="I325" s="25"/>
      <c r="J325" s="25"/>
      <c r="K325" s="25"/>
      <c r="L325" s="59"/>
      <c r="M325" s="25"/>
      <c r="N325" s="26"/>
      <c r="O325" s="25"/>
      <c r="P325" s="26"/>
      <c r="Q325" s="59" t="e">
        <f t="shared" si="201"/>
        <v>#DIV/0!</v>
      </c>
      <c r="R325" s="59"/>
      <c r="S325" s="25"/>
      <c r="T325" s="26"/>
      <c r="U325" s="59"/>
      <c r="V325" s="59"/>
      <c r="W325" s="25"/>
      <c r="X325" s="59"/>
      <c r="Y325" s="25"/>
      <c r="Z325" s="59"/>
      <c r="AA325" s="25"/>
      <c r="AB325" s="59"/>
      <c r="AC325" s="25"/>
      <c r="AD325" s="25"/>
      <c r="AE325" s="25"/>
      <c r="AF325" s="25"/>
      <c r="AI325" s="25"/>
      <c r="AJ325" s="25"/>
      <c r="AK325" s="25"/>
      <c r="AL325" s="25">
        <f t="shared" si="199"/>
        <v>0</v>
      </c>
      <c r="AM325" s="25">
        <f t="shared" si="200"/>
        <v>0</v>
      </c>
    </row>
    <row r="326" spans="1:39" s="27" customFormat="1" ht="15.75" customHeight="1">
      <c r="A326" s="28">
        <v>41</v>
      </c>
      <c r="C326" s="27" t="s">
        <v>510</v>
      </c>
      <c r="D326" s="19">
        <f aca="true" t="shared" si="203" ref="D326:K326">D329+D334+D342+D346+D352</f>
        <v>0</v>
      </c>
      <c r="E326" s="19">
        <f t="shared" si="203"/>
        <v>0</v>
      </c>
      <c r="F326" s="19">
        <f t="shared" si="203"/>
        <v>0</v>
      </c>
      <c r="G326" s="19">
        <f t="shared" si="203"/>
        <v>0</v>
      </c>
      <c r="H326" s="19">
        <f t="shared" si="203"/>
        <v>0</v>
      </c>
      <c r="I326" s="19">
        <f t="shared" si="203"/>
        <v>6410845671</v>
      </c>
      <c r="J326" s="19">
        <f t="shared" si="203"/>
        <v>6211002938.76</v>
      </c>
      <c r="K326" s="19">
        <f t="shared" si="203"/>
        <v>6533546070</v>
      </c>
      <c r="L326" s="20">
        <f>K326/J326*100</f>
        <v>105.19309255558642</v>
      </c>
      <c r="M326" s="19">
        <f>M329+M334+M342+M346+M352</f>
        <v>6938468398</v>
      </c>
      <c r="N326" s="21">
        <f>M326/$M$285</f>
        <v>0.4250805222088076</v>
      </c>
      <c r="O326" s="19">
        <f>O329+O334+O342+O346+O352</f>
        <v>6963200251</v>
      </c>
      <c r="P326" s="21">
        <f>O326/$O$285</f>
        <v>0.4955587769160186</v>
      </c>
      <c r="Q326" s="20">
        <f t="shared" si="201"/>
        <v>112.11072220793656</v>
      </c>
      <c r="R326" s="20">
        <f>O326/M326*100</f>
        <v>100.35644542255362</v>
      </c>
      <c r="S326" s="19">
        <f>S329+S334+S342+S346+S352</f>
        <v>7889993746</v>
      </c>
      <c r="T326" s="21">
        <f>S326/$S$285</f>
        <v>0.4844202914615106</v>
      </c>
      <c r="U326" s="20">
        <f>S326/M326*100</f>
        <v>113.71376640231259</v>
      </c>
      <c r="V326" s="20">
        <f>S326/O326*100</f>
        <v>113.30987852700203</v>
      </c>
      <c r="W326" s="19">
        <f>W329+W334+W342+W346+W352</f>
        <v>8084702670</v>
      </c>
      <c r="X326" s="20">
        <f>W326/S326*100</f>
        <v>102.46779566965705</v>
      </c>
      <c r="Y326" s="19">
        <f>Y329+Y334+Y342+Y346+Y352</f>
        <v>0</v>
      </c>
      <c r="Z326" s="20"/>
      <c r="AA326" s="19">
        <f>AA329+AA334+AA342+AA346+AA352</f>
        <v>0</v>
      </c>
      <c r="AB326" s="20"/>
      <c r="AC326" s="19"/>
      <c r="AD326" s="19"/>
      <c r="AE326" s="19"/>
      <c r="AF326" s="19"/>
      <c r="AI326" s="19">
        <f>AI329+AI334+AI342+AI346+AI352</f>
        <v>0</v>
      </c>
      <c r="AJ326" s="19">
        <f>AJ329+AJ334+AJ342+AJ346+AJ352</f>
        <v>0</v>
      </c>
      <c r="AK326" s="19">
        <f>AK329+AK334+AK342+AK346+AK352</f>
        <v>7878797877</v>
      </c>
      <c r="AL326" s="19">
        <f t="shared" si="199"/>
        <v>0</v>
      </c>
      <c r="AM326" s="19">
        <f t="shared" si="200"/>
        <v>7878797877</v>
      </c>
    </row>
    <row r="327" spans="1:39" s="35" customFormat="1" ht="12.75">
      <c r="A327" s="34"/>
      <c r="C327" s="30" t="s">
        <v>511</v>
      </c>
      <c r="D327" s="36"/>
      <c r="E327" s="36"/>
      <c r="F327" s="36"/>
      <c r="G327" s="36"/>
      <c r="H327" s="36"/>
      <c r="I327" s="36"/>
      <c r="J327" s="36"/>
      <c r="K327" s="36"/>
      <c r="L327" s="37"/>
      <c r="M327" s="36"/>
      <c r="N327" s="38"/>
      <c r="O327" s="36"/>
      <c r="P327" s="38"/>
      <c r="Q327" s="37" t="e">
        <f t="shared" si="201"/>
        <v>#DIV/0!</v>
      </c>
      <c r="R327" s="37"/>
      <c r="S327" s="36"/>
      <c r="T327" s="38"/>
      <c r="U327" s="37"/>
      <c r="V327" s="37"/>
      <c r="W327" s="36"/>
      <c r="X327" s="37"/>
      <c r="Y327" s="36"/>
      <c r="Z327" s="37"/>
      <c r="AA327" s="36"/>
      <c r="AB327" s="37"/>
      <c r="AC327" s="36"/>
      <c r="AD327" s="36"/>
      <c r="AE327" s="36"/>
      <c r="AF327" s="36"/>
      <c r="AI327" s="36"/>
      <c r="AJ327" s="36"/>
      <c r="AK327" s="36"/>
      <c r="AL327" s="36">
        <f t="shared" si="199"/>
        <v>0</v>
      </c>
      <c r="AM327" s="36">
        <f t="shared" si="200"/>
        <v>0</v>
      </c>
    </row>
    <row r="328" spans="1:39" ht="12.75">
      <c r="A328" s="29"/>
      <c r="D328" s="25"/>
      <c r="E328" s="25"/>
      <c r="F328" s="25"/>
      <c r="G328" s="25"/>
      <c r="H328" s="25"/>
      <c r="I328" s="25"/>
      <c r="J328" s="25"/>
      <c r="K328" s="25"/>
      <c r="L328" s="59"/>
      <c r="M328" s="25"/>
      <c r="N328" s="26"/>
      <c r="O328" s="25"/>
      <c r="P328" s="26"/>
      <c r="Q328" s="59" t="e">
        <f t="shared" si="201"/>
        <v>#DIV/0!</v>
      </c>
      <c r="R328" s="59"/>
      <c r="S328" s="25"/>
      <c r="T328" s="26"/>
      <c r="U328" s="59"/>
      <c r="V328" s="59"/>
      <c r="W328" s="25"/>
      <c r="X328" s="59"/>
      <c r="Y328" s="25"/>
      <c r="Z328" s="59"/>
      <c r="AA328" s="25"/>
      <c r="AB328" s="59"/>
      <c r="AC328" s="25"/>
      <c r="AD328" s="25"/>
      <c r="AE328" s="25"/>
      <c r="AF328" s="25"/>
      <c r="AI328" s="25"/>
      <c r="AJ328" s="25"/>
      <c r="AK328" s="25"/>
      <c r="AL328" s="25">
        <f t="shared" si="199"/>
        <v>0</v>
      </c>
      <c r="AM328" s="25">
        <f t="shared" si="200"/>
        <v>0</v>
      </c>
    </row>
    <row r="329" spans="1:39" s="35" customFormat="1" ht="12.75">
      <c r="A329" s="34">
        <v>410</v>
      </c>
      <c r="C329" s="35" t="s">
        <v>512</v>
      </c>
      <c r="D329" s="36">
        <f aca="true" t="shared" si="204" ref="D329:K329">SUM(D330:D332)</f>
        <v>0</v>
      </c>
      <c r="E329" s="36">
        <f t="shared" si="204"/>
        <v>0</v>
      </c>
      <c r="F329" s="36">
        <f t="shared" si="204"/>
        <v>0</v>
      </c>
      <c r="G329" s="36">
        <f t="shared" si="204"/>
        <v>0</v>
      </c>
      <c r="H329" s="36">
        <f t="shared" si="204"/>
        <v>0</v>
      </c>
      <c r="I329" s="36">
        <f t="shared" si="204"/>
        <v>96588600</v>
      </c>
      <c r="J329" s="36">
        <f t="shared" si="204"/>
        <v>81236212.11</v>
      </c>
      <c r="K329" s="36">
        <f t="shared" si="204"/>
        <v>182945900</v>
      </c>
      <c r="L329" s="37">
        <f>K329/J329*100</f>
        <v>225.20240081144766</v>
      </c>
      <c r="M329" s="36">
        <f>SUM(M330:M332)</f>
        <v>68711930</v>
      </c>
      <c r="N329" s="38">
        <f>M329/$M$285</f>
        <v>0.004209589409500548</v>
      </c>
      <c r="O329" s="36">
        <f>SUM(O330:O332)</f>
        <v>67641564</v>
      </c>
      <c r="P329" s="38">
        <f>O329/$O$285</f>
        <v>0.004813931743484278</v>
      </c>
      <c r="Q329" s="37">
        <f t="shared" si="201"/>
        <v>83.26528557044017</v>
      </c>
      <c r="R329" s="37">
        <f>O329/M329*100</f>
        <v>98.442241398255</v>
      </c>
      <c r="S329" s="36">
        <f>SUM(S330:S332)</f>
        <v>180206339</v>
      </c>
      <c r="T329" s="38">
        <f>S329/$S$285</f>
        <v>0.011064090805629364</v>
      </c>
      <c r="U329" s="37">
        <f>S329/M329*100</f>
        <v>262.263538515073</v>
      </c>
      <c r="V329" s="37">
        <f>S329/O329*100</f>
        <v>266.41361959046367</v>
      </c>
      <c r="W329" s="36">
        <f>SUM(W330:W332)</f>
        <v>124512600</v>
      </c>
      <c r="X329" s="37">
        <f>W329/S329*100</f>
        <v>69.09446176585386</v>
      </c>
      <c r="Y329" s="36">
        <f>SUM(Y330:Y332)</f>
        <v>0</v>
      </c>
      <c r="Z329" s="37"/>
      <c r="AA329" s="36">
        <f>SUM(AA330:AA332)</f>
        <v>0</v>
      </c>
      <c r="AB329" s="37"/>
      <c r="AC329" s="36"/>
      <c r="AD329" s="36"/>
      <c r="AE329" s="36"/>
      <c r="AF329" s="36"/>
      <c r="AI329" s="36">
        <f>SUM(AI330:AI332)</f>
        <v>0</v>
      </c>
      <c r="AJ329" s="36">
        <f>SUM(AJ330:AJ332)</f>
        <v>0</v>
      </c>
      <c r="AK329" s="36">
        <f>SUM(AK330:AK332)</f>
        <v>178336439</v>
      </c>
      <c r="AL329" s="36">
        <f t="shared" si="199"/>
        <v>0</v>
      </c>
      <c r="AM329" s="36">
        <f t="shared" si="200"/>
        <v>178336439</v>
      </c>
    </row>
    <row r="330" spans="1:39" ht="12.75">
      <c r="A330" s="29">
        <v>4100</v>
      </c>
      <c r="C330" s="1" t="s">
        <v>513</v>
      </c>
      <c r="D330" s="25"/>
      <c r="E330" s="25"/>
      <c r="F330" s="25"/>
      <c r="G330" s="25"/>
      <c r="H330" s="25"/>
      <c r="I330" s="25">
        <f>'[1]odhodki-post-konti (2)'!AH1397</f>
        <v>0</v>
      </c>
      <c r="J330" s="25"/>
      <c r="K330" s="25">
        <v>70500000</v>
      </c>
      <c r="L330" s="59"/>
      <c r="M330" s="25"/>
      <c r="N330" s="26">
        <f>M330/$M$285</f>
        <v>0</v>
      </c>
      <c r="O330" s="25"/>
      <c r="P330" s="26">
        <f>O330/$O$285</f>
        <v>0</v>
      </c>
      <c r="Q330" s="59" t="e">
        <f t="shared" si="201"/>
        <v>#DIV/0!</v>
      </c>
      <c r="R330" s="59"/>
      <c r="S330" s="25">
        <v>136000000</v>
      </c>
      <c r="T330" s="26">
        <f>S330/$S$285</f>
        <v>0.008349963480283528</v>
      </c>
      <c r="U330" s="59"/>
      <c r="V330" s="59"/>
      <c r="W330" s="25">
        <v>80000000</v>
      </c>
      <c r="X330" s="59">
        <f>W330/S330*100</f>
        <v>58.82352941176471</v>
      </c>
      <c r="Y330" s="25"/>
      <c r="Z330" s="59"/>
      <c r="AA330" s="25"/>
      <c r="AB330" s="59"/>
      <c r="AC330" s="25"/>
      <c r="AD330" s="25"/>
      <c r="AE330" s="25"/>
      <c r="AF330" s="25"/>
      <c r="AI330" s="25"/>
      <c r="AJ330" s="25"/>
      <c r="AK330" s="25">
        <v>136000000</v>
      </c>
      <c r="AL330" s="25">
        <f t="shared" si="199"/>
        <v>0</v>
      </c>
      <c r="AM330" s="25">
        <f t="shared" si="200"/>
        <v>136000000</v>
      </c>
    </row>
    <row r="331" spans="1:39" ht="12.75" hidden="1">
      <c r="A331" s="29">
        <v>4101</v>
      </c>
      <c r="C331" s="1" t="s">
        <v>514</v>
      </c>
      <c r="D331" s="25"/>
      <c r="E331" s="25"/>
      <c r="F331" s="25"/>
      <c r="G331" s="25"/>
      <c r="H331" s="25"/>
      <c r="I331" s="25"/>
      <c r="J331" s="25"/>
      <c r="K331" s="25"/>
      <c r="L331" s="59"/>
      <c r="M331" s="25"/>
      <c r="N331" s="26">
        <f>M331/$M$285</f>
        <v>0</v>
      </c>
      <c r="O331" s="25"/>
      <c r="P331" s="26">
        <f>O331/$O$285</f>
        <v>0</v>
      </c>
      <c r="Q331" s="59" t="e">
        <f t="shared" si="201"/>
        <v>#DIV/0!</v>
      </c>
      <c r="R331" s="59"/>
      <c r="S331" s="25"/>
      <c r="T331" s="26">
        <f>S331/$S$285</f>
        <v>0</v>
      </c>
      <c r="U331" s="59"/>
      <c r="V331" s="59"/>
      <c r="W331" s="25"/>
      <c r="X331" s="59"/>
      <c r="Y331" s="25"/>
      <c r="Z331" s="59"/>
      <c r="AA331" s="25"/>
      <c r="AB331" s="59"/>
      <c r="AC331" s="25"/>
      <c r="AD331" s="25"/>
      <c r="AE331" s="25"/>
      <c r="AF331" s="25"/>
      <c r="AI331" s="25"/>
      <c r="AJ331" s="25"/>
      <c r="AK331" s="25"/>
      <c r="AL331" s="25">
        <f t="shared" si="199"/>
        <v>0</v>
      </c>
      <c r="AM331" s="25">
        <f t="shared" si="200"/>
        <v>0</v>
      </c>
    </row>
    <row r="332" spans="1:39" ht="12.75">
      <c r="A332" s="29">
        <v>4102</v>
      </c>
      <c r="C332" s="1" t="s">
        <v>515</v>
      </c>
      <c r="D332" s="25"/>
      <c r="E332" s="25"/>
      <c r="F332" s="25"/>
      <c r="G332" s="25"/>
      <c r="H332" s="25"/>
      <c r="I332" s="25">
        <f>'[1]odhodki-post-konti (2)'!AI1397</f>
        <v>96588600</v>
      </c>
      <c r="J332" s="25">
        <v>81236212.11</v>
      </c>
      <c r="K332" s="25">
        <v>112445900</v>
      </c>
      <c r="L332" s="59">
        <f>K332/J332*100</f>
        <v>138.41844305559167</v>
      </c>
      <c r="M332" s="25">
        <f>68711930</f>
        <v>68711930</v>
      </c>
      <c r="N332" s="26">
        <f>M332/$M$285</f>
        <v>0.004209589409500548</v>
      </c>
      <c r="O332" s="25">
        <v>67641564</v>
      </c>
      <c r="P332" s="26">
        <f>O332/$O$285</f>
        <v>0.004813931743484278</v>
      </c>
      <c r="Q332" s="59">
        <f t="shared" si="201"/>
        <v>83.26528557044017</v>
      </c>
      <c r="R332" s="59">
        <f>O332/M332*100</f>
        <v>98.442241398255</v>
      </c>
      <c r="S332" s="25">
        <v>44206339</v>
      </c>
      <c r="T332" s="26">
        <f>S332/$S$285</f>
        <v>0.0027141273253458347</v>
      </c>
      <c r="U332" s="59">
        <f>S332/M332*100</f>
        <v>64.33575508648934</v>
      </c>
      <c r="V332" s="59">
        <f>S332/O332*100</f>
        <v>65.35380967832145</v>
      </c>
      <c r="W332" s="25">
        <v>44512600</v>
      </c>
      <c r="X332" s="59">
        <f>W332/S332*100</f>
        <v>100.6927988314074</v>
      </c>
      <c r="Y332" s="25"/>
      <c r="Z332" s="59"/>
      <c r="AA332" s="25"/>
      <c r="AB332" s="59"/>
      <c r="AC332" s="25"/>
      <c r="AD332" s="25"/>
      <c r="AE332" s="25"/>
      <c r="AF332" s="25"/>
      <c r="AI332" s="25"/>
      <c r="AJ332" s="25"/>
      <c r="AK332" s="25">
        <v>42336439</v>
      </c>
      <c r="AL332" s="25">
        <f t="shared" si="199"/>
        <v>0</v>
      </c>
      <c r="AM332" s="25">
        <f t="shared" si="200"/>
        <v>42336439</v>
      </c>
    </row>
    <row r="333" spans="1:39" ht="12.75">
      <c r="A333" s="29"/>
      <c r="D333" s="25"/>
      <c r="E333" s="25"/>
      <c r="F333" s="25"/>
      <c r="G333" s="25"/>
      <c r="H333" s="25"/>
      <c r="I333" s="25"/>
      <c r="J333" s="25"/>
      <c r="K333" s="25"/>
      <c r="L333" s="59"/>
      <c r="M333" s="25"/>
      <c r="N333" s="26"/>
      <c r="O333" s="25"/>
      <c r="P333" s="26"/>
      <c r="Q333" s="59" t="e">
        <f t="shared" si="201"/>
        <v>#DIV/0!</v>
      </c>
      <c r="R333" s="59"/>
      <c r="S333" s="25"/>
      <c r="T333" s="26"/>
      <c r="U333" s="59"/>
      <c r="V333" s="59"/>
      <c r="W333" s="25"/>
      <c r="X333" s="59"/>
      <c r="Y333" s="25"/>
      <c r="Z333" s="59"/>
      <c r="AA333" s="25"/>
      <c r="AB333" s="59"/>
      <c r="AC333" s="25"/>
      <c r="AD333" s="25"/>
      <c r="AE333" s="25"/>
      <c r="AF333" s="25"/>
      <c r="AI333" s="25"/>
      <c r="AJ333" s="25"/>
      <c r="AK333" s="25"/>
      <c r="AL333" s="25">
        <f t="shared" si="199"/>
        <v>0</v>
      </c>
      <c r="AM333" s="25">
        <f t="shared" si="200"/>
        <v>0</v>
      </c>
    </row>
    <row r="334" spans="1:39" s="35" customFormat="1" ht="12.75">
      <c r="A334" s="34">
        <v>411</v>
      </c>
      <c r="C334" s="35" t="s">
        <v>516</v>
      </c>
      <c r="D334" s="36">
        <f aca="true" t="shared" si="205" ref="D334:K334">SUM(D335:D340)</f>
        <v>0</v>
      </c>
      <c r="E334" s="36">
        <f t="shared" si="205"/>
        <v>0</v>
      </c>
      <c r="F334" s="36">
        <f t="shared" si="205"/>
        <v>0</v>
      </c>
      <c r="G334" s="36">
        <f t="shared" si="205"/>
        <v>0</v>
      </c>
      <c r="H334" s="36">
        <f t="shared" si="205"/>
        <v>0</v>
      </c>
      <c r="I334" s="36">
        <f t="shared" si="205"/>
        <v>1994964700</v>
      </c>
      <c r="J334" s="36">
        <f t="shared" si="205"/>
        <v>341932123.90000004</v>
      </c>
      <c r="K334" s="36">
        <f t="shared" si="205"/>
        <v>2204935600</v>
      </c>
      <c r="L334" s="37">
        <f>K334/J334*100</f>
        <v>644.8459930734223</v>
      </c>
      <c r="M334" s="36">
        <f>SUM(M335:M340)</f>
        <v>340152774</v>
      </c>
      <c r="N334" s="38">
        <f aca="true" t="shared" si="206" ref="N334:N340">M334/$M$285</f>
        <v>0.0208392271188225</v>
      </c>
      <c r="O334" s="36">
        <f>SUM(O335:O340)</f>
        <v>349501635</v>
      </c>
      <c r="P334" s="38">
        <f aca="true" t="shared" si="207" ref="P334:P340">O334/$O$285</f>
        <v>0.024873419767853917</v>
      </c>
      <c r="Q334" s="37">
        <f t="shared" si="201"/>
        <v>102.21374669734561</v>
      </c>
      <c r="R334" s="37">
        <f>O334/M334*100</f>
        <v>102.74843003338259</v>
      </c>
      <c r="S334" s="36">
        <f>SUM(S335:S340)</f>
        <v>360743900</v>
      </c>
      <c r="T334" s="38">
        <f aca="true" t="shared" si="208" ref="T334:T340">S334/$S$285</f>
        <v>0.022148517578934216</v>
      </c>
      <c r="U334" s="37">
        <f>S334/M334*100</f>
        <v>106.05349348113798</v>
      </c>
      <c r="V334" s="37">
        <f>S334/O334*100</f>
        <v>103.21665591063687</v>
      </c>
      <c r="W334" s="36">
        <f>SUM(W335:W340)</f>
        <v>387268100</v>
      </c>
      <c r="X334" s="37">
        <f>W334/S334*100</f>
        <v>107.35263991989885</v>
      </c>
      <c r="Y334" s="36">
        <f>SUM(Y335:Y340)</f>
        <v>0</v>
      </c>
      <c r="Z334" s="37"/>
      <c r="AA334" s="36">
        <f>SUM(AA335:AA340)</f>
        <v>0</v>
      </c>
      <c r="AB334" s="37"/>
      <c r="AC334" s="36"/>
      <c r="AD334" s="36"/>
      <c r="AE334" s="36"/>
      <c r="AF334" s="36"/>
      <c r="AI334" s="36">
        <f>SUM(AI335:AI340)</f>
        <v>0</v>
      </c>
      <c r="AJ334" s="36">
        <f>SUM(AJ335:AJ340)</f>
        <v>0</v>
      </c>
      <c r="AK334" s="36">
        <f>SUM(AK335:AK340)</f>
        <v>359243900</v>
      </c>
      <c r="AL334" s="36">
        <f t="shared" si="199"/>
        <v>0</v>
      </c>
      <c r="AM334" s="36">
        <f t="shared" si="200"/>
        <v>359243900</v>
      </c>
    </row>
    <row r="335" spans="1:39" ht="12.75" hidden="1">
      <c r="A335" s="29">
        <v>4110</v>
      </c>
      <c r="C335" s="1" t="s">
        <v>517</v>
      </c>
      <c r="D335" s="25"/>
      <c r="E335" s="25"/>
      <c r="F335" s="25"/>
      <c r="G335" s="25"/>
      <c r="H335" s="25"/>
      <c r="I335" s="25"/>
      <c r="J335" s="25"/>
      <c r="K335" s="25"/>
      <c r="L335" s="59"/>
      <c r="M335" s="25"/>
      <c r="N335" s="26">
        <f t="shared" si="206"/>
        <v>0</v>
      </c>
      <c r="O335" s="25"/>
      <c r="P335" s="26">
        <f t="shared" si="207"/>
        <v>0</v>
      </c>
      <c r="Q335" s="59" t="e">
        <f t="shared" si="201"/>
        <v>#DIV/0!</v>
      </c>
      <c r="R335" s="59"/>
      <c r="S335" s="25"/>
      <c r="T335" s="26">
        <f t="shared" si="208"/>
        <v>0</v>
      </c>
      <c r="U335" s="59"/>
      <c r="V335" s="59"/>
      <c r="W335" s="25"/>
      <c r="X335" s="59"/>
      <c r="Y335" s="25"/>
      <c r="Z335" s="59"/>
      <c r="AA335" s="25"/>
      <c r="AB335" s="59"/>
      <c r="AC335" s="25"/>
      <c r="AD335" s="25"/>
      <c r="AE335" s="25"/>
      <c r="AF335" s="25"/>
      <c r="AI335" s="25"/>
      <c r="AJ335" s="25"/>
      <c r="AK335" s="25"/>
      <c r="AL335" s="25">
        <f t="shared" si="199"/>
        <v>0</v>
      </c>
      <c r="AM335" s="25">
        <f t="shared" si="200"/>
        <v>0</v>
      </c>
    </row>
    <row r="336" spans="1:39" ht="12.75" hidden="1">
      <c r="A336" s="29">
        <v>4111</v>
      </c>
      <c r="C336" s="1" t="s">
        <v>518</v>
      </c>
      <c r="D336" s="25"/>
      <c r="E336" s="25"/>
      <c r="F336" s="25"/>
      <c r="G336" s="25"/>
      <c r="H336" s="25"/>
      <c r="I336" s="25"/>
      <c r="J336" s="25"/>
      <c r="K336" s="25"/>
      <c r="L336" s="59"/>
      <c r="M336" s="25"/>
      <c r="N336" s="26">
        <f t="shared" si="206"/>
        <v>0</v>
      </c>
      <c r="O336" s="25"/>
      <c r="P336" s="26">
        <f t="shared" si="207"/>
        <v>0</v>
      </c>
      <c r="Q336" s="59" t="e">
        <f t="shared" si="201"/>
        <v>#DIV/0!</v>
      </c>
      <c r="R336" s="59"/>
      <c r="S336" s="25"/>
      <c r="T336" s="26">
        <f t="shared" si="208"/>
        <v>0</v>
      </c>
      <c r="U336" s="59"/>
      <c r="V336" s="59"/>
      <c r="W336" s="25"/>
      <c r="X336" s="59"/>
      <c r="Y336" s="25"/>
      <c r="Z336" s="59"/>
      <c r="AA336" s="25"/>
      <c r="AB336" s="59"/>
      <c r="AC336" s="25"/>
      <c r="AD336" s="25"/>
      <c r="AE336" s="25"/>
      <c r="AF336" s="25"/>
      <c r="AI336" s="25"/>
      <c r="AJ336" s="25"/>
      <c r="AK336" s="25"/>
      <c r="AL336" s="25">
        <f t="shared" si="199"/>
        <v>0</v>
      </c>
      <c r="AM336" s="25">
        <f t="shared" si="200"/>
        <v>0</v>
      </c>
    </row>
    <row r="337" spans="1:39" ht="12.75">
      <c r="A337" s="29">
        <v>4112</v>
      </c>
      <c r="C337" s="1" t="s">
        <v>519</v>
      </c>
      <c r="D337" s="25"/>
      <c r="E337" s="25"/>
      <c r="F337" s="25"/>
      <c r="G337" s="25"/>
      <c r="H337" s="25"/>
      <c r="I337" s="25"/>
      <c r="J337" s="25">
        <v>12273611.4</v>
      </c>
      <c r="K337" s="25"/>
      <c r="L337" s="59"/>
      <c r="M337" s="25"/>
      <c r="N337" s="26">
        <f t="shared" si="206"/>
        <v>0</v>
      </c>
      <c r="O337" s="25"/>
      <c r="P337" s="26">
        <f t="shared" si="207"/>
        <v>0</v>
      </c>
      <c r="Q337" s="59">
        <f t="shared" si="201"/>
        <v>0</v>
      </c>
      <c r="R337" s="59"/>
      <c r="S337" s="25"/>
      <c r="T337" s="26">
        <f t="shared" si="208"/>
        <v>0</v>
      </c>
      <c r="U337" s="59"/>
      <c r="V337" s="59"/>
      <c r="W337" s="25"/>
      <c r="X337" s="59"/>
      <c r="Y337" s="25"/>
      <c r="Z337" s="59"/>
      <c r="AA337" s="25"/>
      <c r="AB337" s="59"/>
      <c r="AC337" s="25"/>
      <c r="AD337" s="25"/>
      <c r="AE337" s="25"/>
      <c r="AF337" s="25"/>
      <c r="AI337" s="25"/>
      <c r="AJ337" s="25"/>
      <c r="AK337" s="25"/>
      <c r="AL337" s="25">
        <f t="shared" si="199"/>
        <v>0</v>
      </c>
      <c r="AM337" s="25">
        <f t="shared" si="200"/>
        <v>0</v>
      </c>
    </row>
    <row r="338" spans="1:39" ht="12.75" hidden="1">
      <c r="A338" s="29">
        <v>4113</v>
      </c>
      <c r="C338" s="1" t="s">
        <v>520</v>
      </c>
      <c r="D338" s="25"/>
      <c r="E338" s="25"/>
      <c r="F338" s="25"/>
      <c r="G338" s="25"/>
      <c r="H338" s="25"/>
      <c r="I338" s="25"/>
      <c r="J338" s="25"/>
      <c r="K338" s="25"/>
      <c r="L338" s="59"/>
      <c r="M338" s="25"/>
      <c r="N338" s="26">
        <f t="shared" si="206"/>
        <v>0</v>
      </c>
      <c r="O338" s="25"/>
      <c r="P338" s="26">
        <f t="shared" si="207"/>
        <v>0</v>
      </c>
      <c r="Q338" s="59" t="e">
        <f t="shared" si="201"/>
        <v>#DIV/0!</v>
      </c>
      <c r="R338" s="59"/>
      <c r="S338" s="25"/>
      <c r="T338" s="26">
        <f t="shared" si="208"/>
        <v>0</v>
      </c>
      <c r="U338" s="59"/>
      <c r="V338" s="59"/>
      <c r="W338" s="25"/>
      <c r="X338" s="59"/>
      <c r="Y338" s="25"/>
      <c r="Z338" s="59"/>
      <c r="AA338" s="25"/>
      <c r="AB338" s="59"/>
      <c r="AC338" s="25"/>
      <c r="AD338" s="25"/>
      <c r="AE338" s="25"/>
      <c r="AF338" s="25"/>
      <c r="AI338" s="25"/>
      <c r="AJ338" s="25"/>
      <c r="AK338" s="25"/>
      <c r="AL338" s="25">
        <f t="shared" si="199"/>
        <v>0</v>
      </c>
      <c r="AM338" s="25">
        <f t="shared" si="200"/>
        <v>0</v>
      </c>
    </row>
    <row r="339" spans="1:39" ht="12.75">
      <c r="A339" s="29">
        <v>4117</v>
      </c>
      <c r="C339" s="1" t="s">
        <v>521</v>
      </c>
      <c r="D339" s="25"/>
      <c r="E339" s="25"/>
      <c r="F339" s="25"/>
      <c r="G339" s="25"/>
      <c r="H339" s="25"/>
      <c r="I339" s="25">
        <f>'[1]odhodki-post-konti (2)'!AJ1397</f>
        <v>1601700</v>
      </c>
      <c r="J339" s="25">
        <v>394613.2</v>
      </c>
      <c r="K339" s="25"/>
      <c r="L339" s="59"/>
      <c r="M339" s="25"/>
      <c r="N339" s="26">
        <f t="shared" si="206"/>
        <v>0</v>
      </c>
      <c r="O339" s="25"/>
      <c r="P339" s="26">
        <f t="shared" si="207"/>
        <v>0</v>
      </c>
      <c r="Q339" s="59">
        <f t="shared" si="201"/>
        <v>0</v>
      </c>
      <c r="R339" s="59"/>
      <c r="S339" s="25">
        <v>2194900</v>
      </c>
      <c r="T339" s="26">
        <f t="shared" si="208"/>
        <v>0.0001347598150211347</v>
      </c>
      <c r="U339" s="59"/>
      <c r="V339" s="59"/>
      <c r="W339" s="25">
        <v>12748500</v>
      </c>
      <c r="X339" s="59">
        <f>W339/S339*100</f>
        <v>580.8237277324707</v>
      </c>
      <c r="Y339" s="25"/>
      <c r="Z339" s="59"/>
      <c r="AA339" s="25"/>
      <c r="AB339" s="59"/>
      <c r="AC339" s="25"/>
      <c r="AD339" s="25"/>
      <c r="AE339" s="25"/>
      <c r="AF339" s="25"/>
      <c r="AI339" s="25"/>
      <c r="AJ339" s="25"/>
      <c r="AK339" s="25">
        <v>694900</v>
      </c>
      <c r="AL339" s="25">
        <f t="shared" si="199"/>
        <v>0</v>
      </c>
      <c r="AM339" s="25">
        <f t="shared" si="200"/>
        <v>694900</v>
      </c>
    </row>
    <row r="340" spans="1:39" ht="12.75">
      <c r="A340" s="29">
        <v>4119</v>
      </c>
      <c r="C340" s="1" t="s">
        <v>522</v>
      </c>
      <c r="D340" s="25"/>
      <c r="E340" s="25"/>
      <c r="F340" s="25"/>
      <c r="G340" s="25"/>
      <c r="H340" s="25"/>
      <c r="I340" s="25">
        <f>'[1]odhodki-post-konti (2)'!AK1397</f>
        <v>1993363000</v>
      </c>
      <c r="J340" s="25">
        <v>329263899.3</v>
      </c>
      <c r="K340" s="25">
        <v>2204935600</v>
      </c>
      <c r="L340" s="59">
        <f>K340/J340*100</f>
        <v>669.6560432794462</v>
      </c>
      <c r="M340" s="25">
        <f>311576199+28576575</f>
        <v>340152774</v>
      </c>
      <c r="N340" s="26">
        <f t="shared" si="206"/>
        <v>0.0208392271188225</v>
      </c>
      <c r="O340" s="25">
        <v>349501635</v>
      </c>
      <c r="P340" s="26">
        <f t="shared" si="207"/>
        <v>0.024873419767853917</v>
      </c>
      <c r="Q340" s="59">
        <f t="shared" si="201"/>
        <v>106.14635729669256</v>
      </c>
      <c r="R340" s="59">
        <f>O340/M340*100</f>
        <v>102.74843003338259</v>
      </c>
      <c r="S340" s="25">
        <v>358549000</v>
      </c>
      <c r="T340" s="26">
        <f t="shared" si="208"/>
        <v>0.02201375776391308</v>
      </c>
      <c r="U340" s="59">
        <f>S340/M340*100</f>
        <v>105.4082245996912</v>
      </c>
      <c r="V340" s="59">
        <f>S340/O340*100</f>
        <v>102.58864740360943</v>
      </c>
      <c r="W340" s="25">
        <v>374519600</v>
      </c>
      <c r="X340" s="59">
        <f>W340/S340*100</f>
        <v>104.45423080248446</v>
      </c>
      <c r="Y340" s="25"/>
      <c r="Z340" s="59"/>
      <c r="AA340" s="25"/>
      <c r="AB340" s="59"/>
      <c r="AC340" s="25"/>
      <c r="AD340" s="25"/>
      <c r="AE340" s="25"/>
      <c r="AF340" s="25"/>
      <c r="AI340" s="25"/>
      <c r="AJ340" s="25"/>
      <c r="AK340" s="25">
        <v>358549000</v>
      </c>
      <c r="AL340" s="25">
        <f t="shared" si="199"/>
        <v>0</v>
      </c>
      <c r="AM340" s="25">
        <f t="shared" si="200"/>
        <v>358549000</v>
      </c>
    </row>
    <row r="341" spans="1:39" ht="12.75">
      <c r="A341" s="29"/>
      <c r="D341" s="25"/>
      <c r="E341" s="25"/>
      <c r="F341" s="25"/>
      <c r="G341" s="25"/>
      <c r="H341" s="25"/>
      <c r="I341" s="25"/>
      <c r="J341" s="25"/>
      <c r="K341" s="25"/>
      <c r="L341" s="59"/>
      <c r="M341" s="25"/>
      <c r="N341" s="26"/>
      <c r="O341" s="25"/>
      <c r="P341" s="26"/>
      <c r="Q341" s="59" t="e">
        <f t="shared" si="201"/>
        <v>#DIV/0!</v>
      </c>
      <c r="R341" s="59"/>
      <c r="S341" s="25"/>
      <c r="T341" s="26"/>
      <c r="U341" s="59"/>
      <c r="V341" s="59"/>
      <c r="W341" s="25"/>
      <c r="X341" s="59"/>
      <c r="Y341" s="25"/>
      <c r="Z341" s="59"/>
      <c r="AA341" s="25"/>
      <c r="AB341" s="59"/>
      <c r="AC341" s="25"/>
      <c r="AD341" s="25"/>
      <c r="AE341" s="25"/>
      <c r="AF341" s="25"/>
      <c r="AI341" s="25"/>
      <c r="AJ341" s="25"/>
      <c r="AK341" s="25"/>
      <c r="AL341" s="25">
        <f t="shared" si="199"/>
        <v>0</v>
      </c>
      <c r="AM341" s="25">
        <f t="shared" si="200"/>
        <v>0</v>
      </c>
    </row>
    <row r="342" spans="1:39" s="35" customFormat="1" ht="12.75">
      <c r="A342" s="34">
        <v>412</v>
      </c>
      <c r="C342" s="35" t="s">
        <v>523</v>
      </c>
      <c r="D342" s="36">
        <f aca="true" t="shared" si="209" ref="D342:K342">D344</f>
        <v>0</v>
      </c>
      <c r="E342" s="36">
        <f t="shared" si="209"/>
        <v>0</v>
      </c>
      <c r="F342" s="36">
        <f t="shared" si="209"/>
        <v>0</v>
      </c>
      <c r="G342" s="36">
        <f t="shared" si="209"/>
        <v>0</v>
      </c>
      <c r="H342" s="36">
        <f t="shared" si="209"/>
        <v>0</v>
      </c>
      <c r="I342" s="36">
        <f t="shared" si="209"/>
        <v>505993986</v>
      </c>
      <c r="J342" s="36">
        <f t="shared" si="209"/>
        <v>144988337.83</v>
      </c>
      <c r="K342" s="36">
        <f t="shared" si="209"/>
        <v>505411270</v>
      </c>
      <c r="L342" s="37">
        <f>K342/J342*100</f>
        <v>348.5875330142751</v>
      </c>
      <c r="M342" s="36">
        <f>M344</f>
        <v>538316521</v>
      </c>
      <c r="N342" s="38">
        <f>M342/$M$285</f>
        <v>0.032979593583832956</v>
      </c>
      <c r="O342" s="36">
        <f>O344</f>
        <v>507610290</v>
      </c>
      <c r="P342" s="38">
        <f>O342/$O$285</f>
        <v>0.036125736068880074</v>
      </c>
      <c r="Q342" s="37">
        <f t="shared" si="201"/>
        <v>350.10422051680956</v>
      </c>
      <c r="R342" s="37">
        <f>O342/M342*100</f>
        <v>94.29587801931868</v>
      </c>
      <c r="S342" s="36">
        <f>S344</f>
        <v>562632857</v>
      </c>
      <c r="T342" s="38">
        <f>S342/$S$285</f>
        <v>0.034543851534982246</v>
      </c>
      <c r="U342" s="37">
        <f>S342/M342*100</f>
        <v>104.51710751043437</v>
      </c>
      <c r="V342" s="37">
        <f>S342/O342*100</f>
        <v>110.83952947447145</v>
      </c>
      <c r="W342" s="36">
        <f>W344</f>
        <v>645763930</v>
      </c>
      <c r="X342" s="37">
        <f>W342/S342*100</f>
        <v>114.7753676248595</v>
      </c>
      <c r="Y342" s="36">
        <f>Y344</f>
        <v>0</v>
      </c>
      <c r="Z342" s="37"/>
      <c r="AA342" s="36">
        <f>AA344</f>
        <v>0</v>
      </c>
      <c r="AB342" s="37"/>
      <c r="AC342" s="36"/>
      <c r="AD342" s="36"/>
      <c r="AE342" s="36"/>
      <c r="AF342" s="36"/>
      <c r="AI342" s="36">
        <f>AI344</f>
        <v>0</v>
      </c>
      <c r="AJ342" s="36">
        <f>AJ344</f>
        <v>0</v>
      </c>
      <c r="AK342" s="36">
        <f>AK344</f>
        <v>562096207</v>
      </c>
      <c r="AL342" s="36">
        <f t="shared" si="199"/>
        <v>0</v>
      </c>
      <c r="AM342" s="36">
        <f t="shared" si="200"/>
        <v>562096207</v>
      </c>
    </row>
    <row r="343" spans="1:39" s="35" customFormat="1" ht="12.75">
      <c r="A343" s="34"/>
      <c r="C343" s="35" t="s">
        <v>524</v>
      </c>
      <c r="D343" s="36"/>
      <c r="E343" s="36"/>
      <c r="F343" s="36"/>
      <c r="G343" s="36"/>
      <c r="H343" s="36"/>
      <c r="I343" s="36"/>
      <c r="J343" s="36"/>
      <c r="K343" s="36"/>
      <c r="L343" s="37"/>
      <c r="M343" s="36"/>
      <c r="N343" s="38"/>
      <c r="O343" s="36"/>
      <c r="P343" s="38"/>
      <c r="Q343" s="37" t="e">
        <f t="shared" si="201"/>
        <v>#DIV/0!</v>
      </c>
      <c r="R343" s="37"/>
      <c r="S343" s="36"/>
      <c r="T343" s="38"/>
      <c r="U343" s="37"/>
      <c r="V343" s="37"/>
      <c r="W343" s="36"/>
      <c r="X343" s="37"/>
      <c r="Y343" s="36"/>
      <c r="Z343" s="37"/>
      <c r="AA343" s="36"/>
      <c r="AB343" s="37"/>
      <c r="AC343" s="36"/>
      <c r="AD343" s="36"/>
      <c r="AE343" s="36"/>
      <c r="AF343" s="36"/>
      <c r="AI343" s="36"/>
      <c r="AJ343" s="36"/>
      <c r="AK343" s="36"/>
      <c r="AL343" s="36">
        <f t="shared" si="199"/>
        <v>0</v>
      </c>
      <c r="AM343" s="36">
        <f t="shared" si="200"/>
        <v>0</v>
      </c>
    </row>
    <row r="344" spans="1:39" ht="12.75">
      <c r="A344" s="29">
        <v>4120</v>
      </c>
      <c r="C344" s="1" t="s">
        <v>525</v>
      </c>
      <c r="D344" s="25"/>
      <c r="E344" s="25"/>
      <c r="F344" s="25"/>
      <c r="G344" s="25"/>
      <c r="H344" s="25"/>
      <c r="I344" s="25">
        <f>'[1]odhodki-post-konti (2)'!AL1397</f>
        <v>505993986</v>
      </c>
      <c r="J344" s="25">
        <v>144988337.83</v>
      </c>
      <c r="K344" s="25">
        <v>505411270</v>
      </c>
      <c r="L344" s="59">
        <f>K344/J344*100</f>
        <v>348.5875330142751</v>
      </c>
      <c r="M344" s="25">
        <v>538316521</v>
      </c>
      <c r="N344" s="26">
        <f>M344/$M$285</f>
        <v>0.032979593583832956</v>
      </c>
      <c r="O344" s="25">
        <v>507610290</v>
      </c>
      <c r="P344" s="26">
        <f>O344/$O$285</f>
        <v>0.036125736068880074</v>
      </c>
      <c r="Q344" s="59">
        <f t="shared" si="201"/>
        <v>350.10422051680956</v>
      </c>
      <c r="R344" s="59">
        <f>O344/M344*100</f>
        <v>94.29587801931868</v>
      </c>
      <c r="S344" s="25">
        <v>562632857</v>
      </c>
      <c r="T344" s="26">
        <f>S344/$S$285</f>
        <v>0.034543851534982246</v>
      </c>
      <c r="U344" s="59">
        <f>S344/M344*100</f>
        <v>104.51710751043437</v>
      </c>
      <c r="V344" s="59">
        <f>S344/O344*100</f>
        <v>110.83952947447145</v>
      </c>
      <c r="W344" s="25">
        <v>645763930</v>
      </c>
      <c r="X344" s="59">
        <f>W344/S344*100</f>
        <v>114.7753676248595</v>
      </c>
      <c r="Y344" s="25"/>
      <c r="Z344" s="59"/>
      <c r="AA344" s="25"/>
      <c r="AB344" s="59"/>
      <c r="AC344" s="25"/>
      <c r="AD344" s="25"/>
      <c r="AE344" s="25"/>
      <c r="AF344" s="25"/>
      <c r="AI344" s="25"/>
      <c r="AJ344" s="25"/>
      <c r="AK344" s="25">
        <v>562096207</v>
      </c>
      <c r="AL344" s="25">
        <f t="shared" si="199"/>
        <v>0</v>
      </c>
      <c r="AM344" s="25">
        <f t="shared" si="200"/>
        <v>562096207</v>
      </c>
    </row>
    <row r="345" spans="1:39" ht="12.75">
      <c r="A345" s="29"/>
      <c r="D345" s="25"/>
      <c r="E345" s="25"/>
      <c r="F345" s="25"/>
      <c r="G345" s="25"/>
      <c r="H345" s="25"/>
      <c r="I345" s="25"/>
      <c r="J345" s="25"/>
      <c r="K345" s="25"/>
      <c r="L345" s="59"/>
      <c r="M345" s="25"/>
      <c r="N345" s="26"/>
      <c r="O345" s="25"/>
      <c r="P345" s="26"/>
      <c r="Q345" s="59" t="e">
        <f t="shared" si="201"/>
        <v>#DIV/0!</v>
      </c>
      <c r="R345" s="59"/>
      <c r="S345" s="25"/>
      <c r="T345" s="26"/>
      <c r="U345" s="59"/>
      <c r="V345" s="59"/>
      <c r="W345" s="25"/>
      <c r="X345" s="59"/>
      <c r="Y345" s="25"/>
      <c r="Z345" s="59"/>
      <c r="AA345" s="25"/>
      <c r="AB345" s="59"/>
      <c r="AC345" s="25"/>
      <c r="AD345" s="25"/>
      <c r="AE345" s="25"/>
      <c r="AF345" s="25"/>
      <c r="AI345" s="25"/>
      <c r="AJ345" s="25"/>
      <c r="AK345" s="25"/>
      <c r="AL345" s="25">
        <f t="shared" si="199"/>
        <v>0</v>
      </c>
      <c r="AM345" s="25">
        <f t="shared" si="200"/>
        <v>0</v>
      </c>
    </row>
    <row r="346" spans="1:39" s="35" customFormat="1" ht="12.75">
      <c r="A346" s="34">
        <v>413</v>
      </c>
      <c r="C346" s="35" t="s">
        <v>526</v>
      </c>
      <c r="D346" s="36">
        <f aca="true" t="shared" si="210" ref="D346:K346">SUM(D347:D350)</f>
        <v>0</v>
      </c>
      <c r="E346" s="36">
        <f t="shared" si="210"/>
        <v>0</v>
      </c>
      <c r="F346" s="36">
        <f t="shared" si="210"/>
        <v>0</v>
      </c>
      <c r="G346" s="36">
        <f t="shared" si="210"/>
        <v>0</v>
      </c>
      <c r="H346" s="36">
        <f t="shared" si="210"/>
        <v>0</v>
      </c>
      <c r="I346" s="36">
        <f t="shared" si="210"/>
        <v>3813298385</v>
      </c>
      <c r="J346" s="36">
        <f t="shared" si="210"/>
        <v>5642612912.81</v>
      </c>
      <c r="K346" s="36">
        <f t="shared" si="210"/>
        <v>3640053300</v>
      </c>
      <c r="L346" s="37">
        <f>K346/J346*100</f>
        <v>64.51006574872893</v>
      </c>
      <c r="M346" s="36">
        <f>SUM(M347:M350)</f>
        <v>5991087173</v>
      </c>
      <c r="N346" s="38">
        <f>M346/$M$285</f>
        <v>0.36703985923340204</v>
      </c>
      <c r="O346" s="36">
        <f>SUM(O347:O350)</f>
        <v>6038396776</v>
      </c>
      <c r="P346" s="38">
        <f>O346/$O$285</f>
        <v>0.4297421319196511</v>
      </c>
      <c r="Q346" s="37">
        <f t="shared" si="201"/>
        <v>107.0141948296946</v>
      </c>
      <c r="R346" s="37">
        <f>O346/M346*100</f>
        <v>100.7896664100167</v>
      </c>
      <c r="S346" s="36">
        <f>SUM(S347:S350)</f>
        <v>6786210650</v>
      </c>
      <c r="T346" s="38">
        <f>S346/$S$285</f>
        <v>0.41665155218390554</v>
      </c>
      <c r="U346" s="37">
        <f>S346/M346*100</f>
        <v>113.27177278580388</v>
      </c>
      <c r="V346" s="37">
        <f>S346/O346*100</f>
        <v>112.38431162675886</v>
      </c>
      <c r="W346" s="36">
        <f>SUM(W347:W350)</f>
        <v>6926958040</v>
      </c>
      <c r="X346" s="37">
        <f>W346/S346*100</f>
        <v>102.07402035184391</v>
      </c>
      <c r="Y346" s="36">
        <f>SUM(Y347:Y350)</f>
        <v>0</v>
      </c>
      <c r="Z346" s="37"/>
      <c r="AA346" s="36">
        <f>SUM(AA347:AA350)</f>
        <v>0</v>
      </c>
      <c r="AB346" s="37"/>
      <c r="AC346" s="36"/>
      <c r="AD346" s="36"/>
      <c r="AE346" s="36"/>
      <c r="AF346" s="36"/>
      <c r="AI346" s="36">
        <f>SUM(AI347:AI350)</f>
        <v>0</v>
      </c>
      <c r="AJ346" s="36">
        <f>SUM(AJ347:AJ350)</f>
        <v>0</v>
      </c>
      <c r="AK346" s="36">
        <f>SUM(AK347:AK350)</f>
        <v>6778921331</v>
      </c>
      <c r="AL346" s="36">
        <f t="shared" si="199"/>
        <v>0</v>
      </c>
      <c r="AM346" s="36">
        <f t="shared" si="200"/>
        <v>6778921331</v>
      </c>
    </row>
    <row r="347" spans="1:39" ht="12.75">
      <c r="A347" s="29">
        <v>4130</v>
      </c>
      <c r="C347" s="1" t="s">
        <v>527</v>
      </c>
      <c r="D347" s="25"/>
      <c r="E347" s="25"/>
      <c r="F347" s="25"/>
      <c r="G347" s="25"/>
      <c r="H347" s="25"/>
      <c r="I347" s="25">
        <f>'[1]odhodki-post-konti (2)'!AM1397</f>
        <v>45500000</v>
      </c>
      <c r="J347" s="25">
        <v>48329990.04</v>
      </c>
      <c r="K347" s="25">
        <v>36500000</v>
      </c>
      <c r="L347" s="59">
        <f>K347/J347*100</f>
        <v>75.52246538803549</v>
      </c>
      <c r="M347" s="25">
        <v>36032966</v>
      </c>
      <c r="N347" s="26">
        <f>M347/$M$285</f>
        <v>0.0022075350243617566</v>
      </c>
      <c r="O347" s="25">
        <v>37632880</v>
      </c>
      <c r="P347" s="26">
        <f>O347/$O$285</f>
        <v>0.0026782662155880165</v>
      </c>
      <c r="Q347" s="59">
        <f t="shared" si="201"/>
        <v>77.86651718498885</v>
      </c>
      <c r="R347" s="59">
        <f>O347/M347*100</f>
        <v>104.4401396210348</v>
      </c>
      <c r="S347" s="25">
        <v>20000000</v>
      </c>
      <c r="T347" s="26">
        <f>S347/$S$285</f>
        <v>0.0012279358059240485</v>
      </c>
      <c r="U347" s="59">
        <f>S347/M347*100</f>
        <v>55.504728642099565</v>
      </c>
      <c r="V347" s="59">
        <f>S347/O347*100</f>
        <v>53.14501574155366</v>
      </c>
      <c r="W347" s="25">
        <v>23500000</v>
      </c>
      <c r="X347" s="59">
        <f>W347/S347*100</f>
        <v>117.5</v>
      </c>
      <c r="Y347" s="25"/>
      <c r="Z347" s="59"/>
      <c r="AA347" s="25"/>
      <c r="AB347" s="59"/>
      <c r="AC347" s="25"/>
      <c r="AD347" s="25"/>
      <c r="AE347" s="25"/>
      <c r="AF347" s="25"/>
      <c r="AI347" s="25"/>
      <c r="AJ347" s="25"/>
      <c r="AK347" s="25">
        <v>20000000</v>
      </c>
      <c r="AL347" s="25">
        <f t="shared" si="199"/>
        <v>0</v>
      </c>
      <c r="AM347" s="25">
        <f t="shared" si="200"/>
        <v>20000000</v>
      </c>
    </row>
    <row r="348" spans="1:39" ht="12.75">
      <c r="A348" s="29">
        <v>4131</v>
      </c>
      <c r="C348" s="1" t="s">
        <v>528</v>
      </c>
      <c r="D348" s="25"/>
      <c r="E348" s="25"/>
      <c r="F348" s="25"/>
      <c r="G348" s="25"/>
      <c r="H348" s="25"/>
      <c r="I348" s="25">
        <f>'[1]odhodki-post-konti (2)'!AN1397</f>
        <v>130000000</v>
      </c>
      <c r="J348" s="25">
        <v>127430600</v>
      </c>
      <c r="K348" s="25">
        <v>133836400</v>
      </c>
      <c r="L348" s="59">
        <f>K348/J348*100</f>
        <v>105.02689306963948</v>
      </c>
      <c r="M348" s="25">
        <v>133836400</v>
      </c>
      <c r="N348" s="26">
        <f>M348/$M$285</f>
        <v>0.008199395535035606</v>
      </c>
      <c r="O348" s="25">
        <v>130000000</v>
      </c>
      <c r="P348" s="26">
        <f>O348/$O$285</f>
        <v>0.009251872512187271</v>
      </c>
      <c r="Q348" s="59">
        <f t="shared" si="201"/>
        <v>102.01631319322047</v>
      </c>
      <c r="R348" s="59">
        <f>O348/M348*100</f>
        <v>97.13351524697316</v>
      </c>
      <c r="S348" s="25">
        <v>139465000</v>
      </c>
      <c r="T348" s="26">
        <f>S348/$S$285</f>
        <v>0.00856270335865987</v>
      </c>
      <c r="U348" s="59">
        <f>S348/M348*100</f>
        <v>104.20558233783935</v>
      </c>
      <c r="V348" s="59">
        <f>S348/O348*100</f>
        <v>107.28076923076924</v>
      </c>
      <c r="W348" s="25">
        <v>145740900</v>
      </c>
      <c r="X348" s="59">
        <f>W348/S348*100</f>
        <v>104.49998207435559</v>
      </c>
      <c r="Y348" s="25"/>
      <c r="Z348" s="59"/>
      <c r="AA348" s="25"/>
      <c r="AB348" s="59"/>
      <c r="AC348" s="25"/>
      <c r="AD348" s="25"/>
      <c r="AE348" s="25"/>
      <c r="AF348" s="25"/>
      <c r="AI348" s="25"/>
      <c r="AJ348" s="25"/>
      <c r="AK348" s="25">
        <v>139465000</v>
      </c>
      <c r="AL348" s="25">
        <f t="shared" si="199"/>
        <v>0</v>
      </c>
      <c r="AM348" s="25">
        <f t="shared" si="200"/>
        <v>139465000</v>
      </c>
    </row>
    <row r="349" spans="1:39" ht="12.75">
      <c r="A349" s="29">
        <v>4132</v>
      </c>
      <c r="C349" s="1" t="s">
        <v>529</v>
      </c>
      <c r="D349" s="25"/>
      <c r="E349" s="25"/>
      <c r="F349" s="25"/>
      <c r="G349" s="25"/>
      <c r="H349" s="25"/>
      <c r="I349" s="25">
        <f>'[1]odhodki-post-konti (2)'!AO1397</f>
        <v>312200000</v>
      </c>
      <c r="J349" s="25">
        <v>457028800.5</v>
      </c>
      <c r="K349" s="25">
        <v>384720000</v>
      </c>
      <c r="L349" s="59">
        <f>K349/J349*100</f>
        <v>84.17850244428962</v>
      </c>
      <c r="M349" s="25">
        <v>457300000</v>
      </c>
      <c r="N349" s="26">
        <f>M349/$M$285</f>
        <v>0.028016171820011468</v>
      </c>
      <c r="O349" s="25">
        <v>471132825</v>
      </c>
      <c r="P349" s="26">
        <f>O349/$O$285</f>
        <v>0.03352969871697412</v>
      </c>
      <c r="Q349" s="59">
        <f t="shared" si="201"/>
        <v>103.08602531931683</v>
      </c>
      <c r="R349" s="59">
        <f>O349/M349*100</f>
        <v>103.02489066258474</v>
      </c>
      <c r="S349" s="25">
        <v>509277700</v>
      </c>
      <c r="T349" s="26">
        <f>S349/$S$285</f>
        <v>0.03126801614943229</v>
      </c>
      <c r="U349" s="59">
        <f>S349/M349*100</f>
        <v>111.36621473868358</v>
      </c>
      <c r="V349" s="59">
        <f>S349/O349*100</f>
        <v>108.09641633439573</v>
      </c>
      <c r="W349" s="25">
        <v>400000000</v>
      </c>
      <c r="X349" s="59">
        <f>W349/S349*100</f>
        <v>78.54261044612791</v>
      </c>
      <c r="Y349" s="25"/>
      <c r="Z349" s="59"/>
      <c r="AA349" s="25"/>
      <c r="AB349" s="59"/>
      <c r="AC349" s="25"/>
      <c r="AD349" s="25"/>
      <c r="AE349" s="25"/>
      <c r="AF349" s="25"/>
      <c r="AI349" s="25"/>
      <c r="AJ349" s="25"/>
      <c r="AK349" s="25">
        <v>491277700</v>
      </c>
      <c r="AL349" s="25">
        <f t="shared" si="199"/>
        <v>0</v>
      </c>
      <c r="AM349" s="25">
        <f t="shared" si="200"/>
        <v>491277700</v>
      </c>
    </row>
    <row r="350" spans="1:39" ht="12.75">
      <c r="A350" s="29">
        <v>4133</v>
      </c>
      <c r="C350" s="1" t="s">
        <v>530</v>
      </c>
      <c r="D350" s="25"/>
      <c r="E350" s="25"/>
      <c r="F350" s="25"/>
      <c r="G350" s="25"/>
      <c r="H350" s="25"/>
      <c r="I350" s="25">
        <f>3151928485+173669900</f>
        <v>3325598385</v>
      </c>
      <c r="J350" s="25">
        <v>5009823522.27</v>
      </c>
      <c r="K350" s="25">
        <v>3084996900</v>
      </c>
      <c r="L350" s="59">
        <f>K350/J350*100</f>
        <v>61.5789535556765</v>
      </c>
      <c r="M350" s="25">
        <v>5363917807</v>
      </c>
      <c r="N350" s="26">
        <f>M350/$M$285</f>
        <v>0.3286167568539932</v>
      </c>
      <c r="O350" s="25">
        <v>5399631071</v>
      </c>
      <c r="P350" s="26">
        <f>O350/$O$285</f>
        <v>0.3842822944749017</v>
      </c>
      <c r="Q350" s="59">
        <f t="shared" si="201"/>
        <v>107.7808638766855</v>
      </c>
      <c r="R350" s="59">
        <f>O350/M350*100</f>
        <v>100.66580557877664</v>
      </c>
      <c r="S350" s="25">
        <f>6115629442+1838508</f>
        <v>6117467950</v>
      </c>
      <c r="T350" s="26">
        <f>S350/$S$285</f>
        <v>0.37559289686988934</v>
      </c>
      <c r="U350" s="59">
        <f>S350/M350*100</f>
        <v>114.04850279429346</v>
      </c>
      <c r="V350" s="59">
        <f>S350/O350*100</f>
        <v>113.294183798136</v>
      </c>
      <c r="W350" s="25">
        <v>6357717140</v>
      </c>
      <c r="X350" s="59">
        <f>W350/S350*100</f>
        <v>103.92726520128315</v>
      </c>
      <c r="Y350" s="25"/>
      <c r="Z350" s="59"/>
      <c r="AA350" s="25"/>
      <c r="AB350" s="59"/>
      <c r="AC350" s="25"/>
      <c r="AD350" s="25"/>
      <c r="AE350" s="25"/>
      <c r="AF350" s="25"/>
      <c r="AI350" s="25"/>
      <c r="AJ350" s="25"/>
      <c r="AK350" s="25">
        <f>6127878631+300000</f>
        <v>6128178631</v>
      </c>
      <c r="AL350" s="25">
        <f t="shared" si="199"/>
        <v>0</v>
      </c>
      <c r="AM350" s="25">
        <f t="shared" si="200"/>
        <v>6128178631</v>
      </c>
    </row>
    <row r="351" spans="1:39" ht="12.75">
      <c r="A351" s="29"/>
      <c r="D351" s="25"/>
      <c r="E351" s="25"/>
      <c r="F351" s="25"/>
      <c r="G351" s="25"/>
      <c r="H351" s="25"/>
      <c r="I351" s="25"/>
      <c r="J351" s="25"/>
      <c r="K351" s="25"/>
      <c r="L351" s="59"/>
      <c r="M351" s="25"/>
      <c r="N351" s="26"/>
      <c r="O351" s="25"/>
      <c r="P351" s="26"/>
      <c r="Q351" s="59" t="e">
        <f t="shared" si="201"/>
        <v>#DIV/0!</v>
      </c>
      <c r="R351" s="59"/>
      <c r="S351" s="25"/>
      <c r="T351" s="26"/>
      <c r="U351" s="59"/>
      <c r="V351" s="59"/>
      <c r="W351" s="25"/>
      <c r="X351" s="59"/>
      <c r="Y351" s="25"/>
      <c r="Z351" s="59"/>
      <c r="AA351" s="25"/>
      <c r="AB351" s="59"/>
      <c r="AC351" s="25"/>
      <c r="AD351" s="25"/>
      <c r="AE351" s="25"/>
      <c r="AF351" s="25"/>
      <c r="AI351" s="25"/>
      <c r="AJ351" s="25"/>
      <c r="AK351" s="25"/>
      <c r="AL351" s="25">
        <f aca="true" t="shared" si="211" ref="AL351:AL381">AJ351-AI351</f>
        <v>0</v>
      </c>
      <c r="AM351" s="25">
        <f aca="true" t="shared" si="212" ref="AM351:AM381">AK351-AJ351</f>
        <v>0</v>
      </c>
    </row>
    <row r="352" spans="1:39" s="35" customFormat="1" ht="12.75">
      <c r="A352" s="34">
        <v>414</v>
      </c>
      <c r="C352" s="35" t="s">
        <v>531</v>
      </c>
      <c r="D352" s="36"/>
      <c r="E352" s="36"/>
      <c r="F352" s="36"/>
      <c r="G352" s="36">
        <f>G354</f>
        <v>0</v>
      </c>
      <c r="H352" s="36"/>
      <c r="I352" s="36">
        <f>SUM(I353:I354)</f>
        <v>0</v>
      </c>
      <c r="J352" s="36">
        <f>SUM(J353:J354)</f>
        <v>233352.11000000002</v>
      </c>
      <c r="K352" s="36">
        <f>K354</f>
        <v>200000</v>
      </c>
      <c r="L352" s="37">
        <f>K352/J352*100</f>
        <v>85.70738871827642</v>
      </c>
      <c r="M352" s="36">
        <f>M354</f>
        <v>200000</v>
      </c>
      <c r="N352" s="38">
        <f>M352/$M$285</f>
        <v>1.2252863249512997E-05</v>
      </c>
      <c r="O352" s="36">
        <f>O354</f>
        <v>49986</v>
      </c>
      <c r="P352" s="38">
        <f>O352/$O$285</f>
        <v>3.5574161491861E-06</v>
      </c>
      <c r="Q352" s="37">
        <f aca="true" t="shared" si="213" ref="Q352:Q381">O352/J352*100</f>
        <v>21.420847662358828</v>
      </c>
      <c r="R352" s="37">
        <f>O352/M352*100</f>
        <v>24.993000000000002</v>
      </c>
      <c r="S352" s="36">
        <f>S354</f>
        <v>200000</v>
      </c>
      <c r="T352" s="38">
        <f>S352/$S$285</f>
        <v>1.2279358059240485E-05</v>
      </c>
      <c r="U352" s="37">
        <f>S352/M352*100</f>
        <v>100</v>
      </c>
      <c r="V352" s="37">
        <f>S352/O352*100</f>
        <v>400.1120313687832</v>
      </c>
      <c r="W352" s="36">
        <f>W354</f>
        <v>200000</v>
      </c>
      <c r="X352" s="37">
        <f>W352/S352*100</f>
        <v>100</v>
      </c>
      <c r="Y352" s="36">
        <f>Y354</f>
        <v>0</v>
      </c>
      <c r="Z352" s="37"/>
      <c r="AA352" s="36">
        <f>AA354</f>
        <v>0</v>
      </c>
      <c r="AB352" s="37"/>
      <c r="AC352" s="36"/>
      <c r="AD352" s="36"/>
      <c r="AE352" s="36"/>
      <c r="AF352" s="36"/>
      <c r="AI352" s="36">
        <f>AI354</f>
        <v>0</v>
      </c>
      <c r="AJ352" s="36">
        <f>AJ354</f>
        <v>0</v>
      </c>
      <c r="AK352" s="36">
        <f>AK354</f>
        <v>200000</v>
      </c>
      <c r="AL352" s="36">
        <f t="shared" si="211"/>
        <v>0</v>
      </c>
      <c r="AM352" s="36">
        <f t="shared" si="212"/>
        <v>200000</v>
      </c>
    </row>
    <row r="353" spans="1:39" ht="12.75">
      <c r="A353" s="29">
        <v>4140</v>
      </c>
      <c r="C353" s="1" t="s">
        <v>532</v>
      </c>
      <c r="D353" s="25"/>
      <c r="E353" s="25"/>
      <c r="F353" s="25"/>
      <c r="G353" s="25"/>
      <c r="H353" s="25"/>
      <c r="I353" s="25"/>
      <c r="J353" s="25">
        <v>77787.1</v>
      </c>
      <c r="K353" s="25"/>
      <c r="L353" s="59">
        <f>K353/J353*100</f>
        <v>0</v>
      </c>
      <c r="M353" s="25"/>
      <c r="N353" s="26">
        <f>M353/$M$285</f>
        <v>0</v>
      </c>
      <c r="O353" s="25"/>
      <c r="P353" s="26">
        <f>O353/$O$285</f>
        <v>0</v>
      </c>
      <c r="Q353" s="59">
        <f t="shared" si="213"/>
        <v>0</v>
      </c>
      <c r="R353" s="59" t="e">
        <f>O353/M353*100</f>
        <v>#DIV/0!</v>
      </c>
      <c r="S353" s="25"/>
      <c r="T353" s="26">
        <f>S353/$S$285</f>
        <v>0</v>
      </c>
      <c r="U353" s="59"/>
      <c r="V353" s="59"/>
      <c r="W353" s="25"/>
      <c r="X353" s="59"/>
      <c r="Y353" s="25"/>
      <c r="Z353" s="59"/>
      <c r="AA353" s="25"/>
      <c r="AB353" s="59"/>
      <c r="AC353" s="25"/>
      <c r="AD353" s="25"/>
      <c r="AE353" s="25"/>
      <c r="AF353" s="25"/>
      <c r="AI353" s="25"/>
      <c r="AJ353" s="25"/>
      <c r="AK353" s="25"/>
      <c r="AL353" s="25">
        <f t="shared" si="211"/>
        <v>0</v>
      </c>
      <c r="AM353" s="25">
        <f t="shared" si="212"/>
        <v>0</v>
      </c>
    </row>
    <row r="354" spans="1:39" ht="12.75">
      <c r="A354" s="29">
        <v>4142</v>
      </c>
      <c r="C354" s="1" t="s">
        <v>533</v>
      </c>
      <c r="D354" s="25"/>
      <c r="E354" s="25"/>
      <c r="F354" s="25"/>
      <c r="G354" s="25"/>
      <c r="H354" s="25"/>
      <c r="I354" s="25">
        <f>'[1]odhodki-post-konti (2)'!AQ1397</f>
        <v>0</v>
      </c>
      <c r="J354" s="25">
        <v>155565.01</v>
      </c>
      <c r="K354" s="25">
        <v>200000</v>
      </c>
      <c r="L354" s="59">
        <f>K354/J354*100</f>
        <v>128.56361465859192</v>
      </c>
      <c r="M354" s="25">
        <v>200000</v>
      </c>
      <c r="N354" s="26">
        <f>M354/$M$285</f>
        <v>1.2252863249512997E-05</v>
      </c>
      <c r="O354" s="25">
        <v>49986</v>
      </c>
      <c r="P354" s="26">
        <f>O354/$O$285</f>
        <v>3.5574161491861E-06</v>
      </c>
      <c r="Q354" s="59">
        <f t="shared" si="213"/>
        <v>32.13190421162188</v>
      </c>
      <c r="R354" s="59">
        <f>O354/M354*100</f>
        <v>24.993000000000002</v>
      </c>
      <c r="S354" s="25">
        <v>200000</v>
      </c>
      <c r="T354" s="26">
        <f>S354/$S$285</f>
        <v>1.2279358059240485E-05</v>
      </c>
      <c r="U354" s="59">
        <f>S354/M354*100</f>
        <v>100</v>
      </c>
      <c r="V354" s="59">
        <f>S354/O354*100</f>
        <v>400.1120313687832</v>
      </c>
      <c r="W354" s="25">
        <v>200000</v>
      </c>
      <c r="X354" s="59">
        <f>W354/S354*100</f>
        <v>100</v>
      </c>
      <c r="Y354" s="25"/>
      <c r="Z354" s="59"/>
      <c r="AA354" s="25"/>
      <c r="AB354" s="59"/>
      <c r="AC354" s="25"/>
      <c r="AD354" s="25"/>
      <c r="AE354" s="25"/>
      <c r="AF354" s="25"/>
      <c r="AI354" s="25"/>
      <c r="AJ354" s="25"/>
      <c r="AK354" s="25">
        <v>200000</v>
      </c>
      <c r="AL354" s="25">
        <f t="shared" si="211"/>
        <v>0</v>
      </c>
      <c r="AM354" s="25">
        <f t="shared" si="212"/>
        <v>200000</v>
      </c>
    </row>
    <row r="355" spans="1:39" ht="12.75">
      <c r="A355" s="29"/>
      <c r="D355" s="25"/>
      <c r="E355" s="25"/>
      <c r="F355" s="25"/>
      <c r="G355" s="25"/>
      <c r="H355" s="25"/>
      <c r="I355" s="25"/>
      <c r="J355" s="25"/>
      <c r="K355" s="25"/>
      <c r="L355" s="59"/>
      <c r="M355" s="25"/>
      <c r="N355" s="26"/>
      <c r="O355" s="25"/>
      <c r="P355" s="26"/>
      <c r="Q355" s="59" t="e">
        <f t="shared" si="213"/>
        <v>#DIV/0!</v>
      </c>
      <c r="R355" s="59"/>
      <c r="S355" s="25"/>
      <c r="T355" s="26"/>
      <c r="U355" s="59"/>
      <c r="V355" s="59"/>
      <c r="W355" s="25"/>
      <c r="X355" s="59"/>
      <c r="Y355" s="25"/>
      <c r="Z355" s="59"/>
      <c r="AA355" s="25"/>
      <c r="AB355" s="59"/>
      <c r="AC355" s="25"/>
      <c r="AD355" s="25"/>
      <c r="AE355" s="25"/>
      <c r="AF355" s="25"/>
      <c r="AI355" s="25"/>
      <c r="AJ355" s="25"/>
      <c r="AK355" s="25"/>
      <c r="AL355" s="25">
        <f t="shared" si="211"/>
        <v>0</v>
      </c>
      <c r="AM355" s="25">
        <f t="shared" si="212"/>
        <v>0</v>
      </c>
    </row>
    <row r="356" spans="1:39" s="27" customFormat="1" ht="15.75">
      <c r="A356" s="28">
        <v>42</v>
      </c>
      <c r="C356" s="27" t="s">
        <v>534</v>
      </c>
      <c r="D356" s="19">
        <f aca="true" t="shared" si="214" ref="D356:K356">D358</f>
        <v>0</v>
      </c>
      <c r="E356" s="19">
        <f t="shared" si="214"/>
        <v>0</v>
      </c>
      <c r="F356" s="19">
        <f t="shared" si="214"/>
        <v>0</v>
      </c>
      <c r="G356" s="19">
        <f t="shared" si="214"/>
        <v>0</v>
      </c>
      <c r="H356" s="19">
        <f t="shared" si="214"/>
        <v>0</v>
      </c>
      <c r="I356" s="19">
        <f t="shared" si="214"/>
        <v>1346078011</v>
      </c>
      <c r="J356" s="19">
        <f t="shared" si="214"/>
        <v>2216701272.87</v>
      </c>
      <c r="K356" s="19">
        <f t="shared" si="214"/>
        <v>1465673700</v>
      </c>
      <c r="L356" s="20">
        <f>K356/J356*100</f>
        <v>66.11958579797124</v>
      </c>
      <c r="M356" s="19">
        <f>M358</f>
        <v>1697479490</v>
      </c>
      <c r="N356" s="21">
        <f>M356/$M$285</f>
        <v>0.10399492029911532</v>
      </c>
      <c r="O356" s="19">
        <f>O358</f>
        <v>927567327</v>
      </c>
      <c r="P356" s="21">
        <f>O356/$O$285</f>
        <v>0.06601334350672557</v>
      </c>
      <c r="Q356" s="20">
        <f t="shared" si="213"/>
        <v>41.84448930274954</v>
      </c>
      <c r="R356" s="20">
        <f>O356/M356*100</f>
        <v>54.643801734535245</v>
      </c>
      <c r="S356" s="19">
        <f>S358</f>
        <v>1768193004</v>
      </c>
      <c r="T356" s="21">
        <f>S356/$S$285</f>
        <v>0.10856137506980021</v>
      </c>
      <c r="U356" s="20">
        <f>S356/M356*100</f>
        <v>104.16579489864705</v>
      </c>
      <c r="V356" s="20">
        <f>S356/O356*100</f>
        <v>190.6269175865441</v>
      </c>
      <c r="W356" s="19">
        <f>W358</f>
        <v>1226932350</v>
      </c>
      <c r="X356" s="20">
        <f>W356/S356*100</f>
        <v>69.38905126445121</v>
      </c>
      <c r="Y356" s="19">
        <f>Y358</f>
        <v>0</v>
      </c>
      <c r="Z356" s="20"/>
      <c r="AA356" s="19">
        <f>AA358</f>
        <v>0</v>
      </c>
      <c r="AB356" s="20"/>
      <c r="AC356" s="19"/>
      <c r="AD356" s="19"/>
      <c r="AE356" s="19"/>
      <c r="AF356" s="19"/>
      <c r="AI356" s="19">
        <f>AI358</f>
        <v>0</v>
      </c>
      <c r="AJ356" s="19">
        <f>AJ358</f>
        <v>0</v>
      </c>
      <c r="AK356" s="19">
        <f>AK358</f>
        <v>1378751224</v>
      </c>
      <c r="AL356" s="19">
        <f t="shared" si="211"/>
        <v>0</v>
      </c>
      <c r="AM356" s="19">
        <f t="shared" si="212"/>
        <v>1378751224</v>
      </c>
    </row>
    <row r="357" spans="1:39" ht="12.75">
      <c r="A357" s="29"/>
      <c r="D357" s="25"/>
      <c r="E357" s="25"/>
      <c r="F357" s="25"/>
      <c r="G357" s="25"/>
      <c r="H357" s="25"/>
      <c r="I357" s="25"/>
      <c r="J357" s="25"/>
      <c r="K357" s="25"/>
      <c r="L357" s="59"/>
      <c r="M357" s="25"/>
      <c r="N357" s="26"/>
      <c r="O357" s="25"/>
      <c r="P357" s="26"/>
      <c r="Q357" s="59" t="e">
        <f t="shared" si="213"/>
        <v>#DIV/0!</v>
      </c>
      <c r="R357" s="59"/>
      <c r="S357" s="25"/>
      <c r="T357" s="26"/>
      <c r="U357" s="59"/>
      <c r="V357" s="59"/>
      <c r="W357" s="25"/>
      <c r="X357" s="59"/>
      <c r="Y357" s="25"/>
      <c r="Z357" s="59"/>
      <c r="AA357" s="25"/>
      <c r="AB357" s="59"/>
      <c r="AC357" s="25"/>
      <c r="AD357" s="25"/>
      <c r="AE357" s="25"/>
      <c r="AF357" s="25"/>
      <c r="AI357" s="25"/>
      <c r="AJ357" s="25"/>
      <c r="AK357" s="25"/>
      <c r="AL357" s="25">
        <f t="shared" si="211"/>
        <v>0</v>
      </c>
      <c r="AM357" s="25">
        <f t="shared" si="212"/>
        <v>0</v>
      </c>
    </row>
    <row r="358" spans="1:39" s="35" customFormat="1" ht="12.75">
      <c r="A358" s="34">
        <v>420</v>
      </c>
      <c r="C358" s="35" t="s">
        <v>535</v>
      </c>
      <c r="D358" s="36">
        <f aca="true" t="shared" si="215" ref="D358:K358">SUM(D359:D367)</f>
        <v>0</v>
      </c>
      <c r="E358" s="36">
        <f t="shared" si="215"/>
        <v>0</v>
      </c>
      <c r="F358" s="36">
        <f t="shared" si="215"/>
        <v>0</v>
      </c>
      <c r="G358" s="36">
        <f t="shared" si="215"/>
        <v>0</v>
      </c>
      <c r="H358" s="36">
        <f t="shared" si="215"/>
        <v>0</v>
      </c>
      <c r="I358" s="36">
        <f t="shared" si="215"/>
        <v>1346078011</v>
      </c>
      <c r="J358" s="36">
        <f t="shared" si="215"/>
        <v>2216701272.87</v>
      </c>
      <c r="K358" s="36">
        <f t="shared" si="215"/>
        <v>1465673700</v>
      </c>
      <c r="L358" s="37">
        <f aca="true" t="shared" si="216" ref="L358:L367">K358/J358*100</f>
        <v>66.11958579797124</v>
      </c>
      <c r="M358" s="36">
        <f>SUM(M359:M367)</f>
        <v>1697479490</v>
      </c>
      <c r="N358" s="38">
        <f aca="true" t="shared" si="217" ref="N358:N367">M358/$M$285</f>
        <v>0.10399492029911532</v>
      </c>
      <c r="O358" s="36">
        <f>SUM(O359:O367)</f>
        <v>927567327</v>
      </c>
      <c r="P358" s="38">
        <f aca="true" t="shared" si="218" ref="P358:P367">O358/$O$285</f>
        <v>0.06601334350672557</v>
      </c>
      <c r="Q358" s="37">
        <f t="shared" si="213"/>
        <v>41.84448930274954</v>
      </c>
      <c r="R358" s="37">
        <f aca="true" t="shared" si="219" ref="R358:R367">O358/M358*100</f>
        <v>54.643801734535245</v>
      </c>
      <c r="S358" s="36">
        <f>SUM(S359:S367)</f>
        <v>1768193004</v>
      </c>
      <c r="T358" s="38">
        <f aca="true" t="shared" si="220" ref="T358:T367">S358/$S$285</f>
        <v>0.10856137506980021</v>
      </c>
      <c r="U358" s="37">
        <f>S358/M358*100</f>
        <v>104.16579489864705</v>
      </c>
      <c r="V358" s="37">
        <f>S358/O358*100</f>
        <v>190.6269175865441</v>
      </c>
      <c r="W358" s="36">
        <f>SUM(W359:W367)</f>
        <v>1226932350</v>
      </c>
      <c r="X358" s="37">
        <f>W358/S358*100</f>
        <v>69.38905126445121</v>
      </c>
      <c r="Y358" s="36">
        <f>SUM(Y359:Y367)</f>
        <v>0</v>
      </c>
      <c r="Z358" s="37"/>
      <c r="AA358" s="36">
        <f>SUM(AA359:AA367)</f>
        <v>0</v>
      </c>
      <c r="AB358" s="37"/>
      <c r="AC358" s="36"/>
      <c r="AD358" s="36"/>
      <c r="AE358" s="36"/>
      <c r="AF358" s="36"/>
      <c r="AI358" s="36">
        <f>SUM(AI359:AI367)</f>
        <v>0</v>
      </c>
      <c r="AJ358" s="36">
        <f>SUM(AJ359:AJ367)</f>
        <v>0</v>
      </c>
      <c r="AK358" s="36">
        <f>SUM(AK359:AK367)</f>
        <v>1378751224</v>
      </c>
      <c r="AL358" s="36">
        <f t="shared" si="211"/>
        <v>0</v>
      </c>
      <c r="AM358" s="36">
        <f t="shared" si="212"/>
        <v>1378751224</v>
      </c>
    </row>
    <row r="359" spans="1:39" ht="12.75">
      <c r="A359" s="29">
        <v>4200</v>
      </c>
      <c r="C359" s="1" t="s">
        <v>536</v>
      </c>
      <c r="D359" s="25"/>
      <c r="E359" s="25"/>
      <c r="F359" s="25"/>
      <c r="G359" s="25"/>
      <c r="H359" s="25"/>
      <c r="I359" s="25">
        <f>'[1]odhodki-post-konti (2)'!AR1397</f>
        <v>0</v>
      </c>
      <c r="J359" s="25">
        <v>48762203.51</v>
      </c>
      <c r="K359" s="25">
        <v>0</v>
      </c>
      <c r="L359" s="59">
        <f t="shared" si="216"/>
        <v>0</v>
      </c>
      <c r="M359" s="25">
        <v>0</v>
      </c>
      <c r="N359" s="26">
        <f t="shared" si="217"/>
        <v>0</v>
      </c>
      <c r="O359" s="25">
        <v>0</v>
      </c>
      <c r="P359" s="26">
        <f t="shared" si="218"/>
        <v>0</v>
      </c>
      <c r="Q359" s="59">
        <f t="shared" si="213"/>
        <v>0</v>
      </c>
      <c r="R359" s="59" t="e">
        <f t="shared" si="219"/>
        <v>#DIV/0!</v>
      </c>
      <c r="S359" s="25">
        <v>0</v>
      </c>
      <c r="T359" s="26">
        <f t="shared" si="220"/>
        <v>0</v>
      </c>
      <c r="U359" s="59"/>
      <c r="V359" s="59"/>
      <c r="W359" s="25">
        <v>0</v>
      </c>
      <c r="X359" s="59"/>
      <c r="Y359" s="25"/>
      <c r="Z359" s="59"/>
      <c r="AA359" s="25"/>
      <c r="AB359" s="59"/>
      <c r="AC359" s="25"/>
      <c r="AD359" s="25"/>
      <c r="AE359" s="25"/>
      <c r="AF359" s="25"/>
      <c r="AI359" s="25">
        <v>0</v>
      </c>
      <c r="AJ359" s="25">
        <v>0</v>
      </c>
      <c r="AK359" s="25">
        <v>0</v>
      </c>
      <c r="AL359" s="25">
        <f t="shared" si="211"/>
        <v>0</v>
      </c>
      <c r="AM359" s="25">
        <f t="shared" si="212"/>
        <v>0</v>
      </c>
    </row>
    <row r="360" spans="1:39" ht="12.75">
      <c r="A360" s="29">
        <v>4201</v>
      </c>
      <c r="C360" s="1" t="s">
        <v>537</v>
      </c>
      <c r="D360" s="25"/>
      <c r="E360" s="25"/>
      <c r="F360" s="25"/>
      <c r="G360" s="25"/>
      <c r="H360" s="25"/>
      <c r="I360" s="25">
        <f>'[1]odhodki-post-konti (2)'!AS1397</f>
        <v>108240000</v>
      </c>
      <c r="J360" s="25">
        <v>181043638.47</v>
      </c>
      <c r="K360" s="25">
        <v>116900000</v>
      </c>
      <c r="L360" s="59">
        <f t="shared" si="216"/>
        <v>64.57006774053042</v>
      </c>
      <c r="M360" s="25">
        <v>146900000</v>
      </c>
      <c r="N360" s="26">
        <f t="shared" si="217"/>
        <v>0.008999728056767296</v>
      </c>
      <c r="O360" s="25">
        <v>182449393</v>
      </c>
      <c r="P360" s="26">
        <f t="shared" si="218"/>
        <v>0.01298460403047656</v>
      </c>
      <c r="Q360" s="59">
        <f t="shared" si="213"/>
        <v>100.77647275644703</v>
      </c>
      <c r="R360" s="59">
        <f t="shared" si="219"/>
        <v>124.19972294077604</v>
      </c>
      <c r="S360" s="25">
        <v>244750000</v>
      </c>
      <c r="T360" s="26">
        <f t="shared" si="220"/>
        <v>0.015026864424995543</v>
      </c>
      <c r="U360" s="59">
        <f aca="true" t="shared" si="221" ref="U360:U367">S360/M360*100</f>
        <v>166.60993873383254</v>
      </c>
      <c r="V360" s="59">
        <f aca="true" t="shared" si="222" ref="V360:V367">S360/O360*100</f>
        <v>134.14678776157945</v>
      </c>
      <c r="W360" s="25">
        <v>231865000</v>
      </c>
      <c r="X360" s="59">
        <f aca="true" t="shared" si="223" ref="X360:X367">W360/S360*100</f>
        <v>94.73544433094995</v>
      </c>
      <c r="Y360" s="25"/>
      <c r="Z360" s="59"/>
      <c r="AA360" s="25"/>
      <c r="AB360" s="59"/>
      <c r="AC360" s="25"/>
      <c r="AD360" s="25"/>
      <c r="AE360" s="25"/>
      <c r="AF360" s="25"/>
      <c r="AI360" s="25"/>
      <c r="AJ360" s="25"/>
      <c r="AK360" s="25">
        <v>244750000</v>
      </c>
      <c r="AL360" s="25">
        <f t="shared" si="211"/>
        <v>0</v>
      </c>
      <c r="AM360" s="25">
        <f t="shared" si="212"/>
        <v>244750000</v>
      </c>
    </row>
    <row r="361" spans="1:39" ht="12.75">
      <c r="A361" s="29">
        <v>4202</v>
      </c>
      <c r="C361" s="1" t="s">
        <v>538</v>
      </c>
      <c r="D361" s="25"/>
      <c r="E361" s="25"/>
      <c r="F361" s="25"/>
      <c r="G361" s="25"/>
      <c r="H361" s="25"/>
      <c r="I361" s="25">
        <f>'[1]odhodki-post-konti (2)'!AT1397</f>
        <v>96257000</v>
      </c>
      <c r="J361" s="25">
        <v>88666563.82</v>
      </c>
      <c r="K361" s="25">
        <v>210014000</v>
      </c>
      <c r="L361" s="59">
        <f t="shared" si="216"/>
        <v>236.85816947450982</v>
      </c>
      <c r="M361" s="25">
        <v>137230380</v>
      </c>
      <c r="N361" s="26">
        <f t="shared" si="217"/>
        <v>0.008407325399093517</v>
      </c>
      <c r="O361" s="25">
        <v>103570083</v>
      </c>
      <c r="P361" s="26">
        <f t="shared" si="218"/>
        <v>0.007370901569174263</v>
      </c>
      <c r="Q361" s="59">
        <f t="shared" si="213"/>
        <v>116.80849977479144</v>
      </c>
      <c r="R361" s="59">
        <f t="shared" si="219"/>
        <v>75.47168710018875</v>
      </c>
      <c r="S361" s="25">
        <v>125573399</v>
      </c>
      <c r="T361" s="26">
        <f t="shared" si="220"/>
        <v>0.007709803645184355</v>
      </c>
      <c r="U361" s="59">
        <f t="shared" si="221"/>
        <v>91.50553907961196</v>
      </c>
      <c r="V361" s="59">
        <f t="shared" si="222"/>
        <v>121.24485697283838</v>
      </c>
      <c r="W361" s="25">
        <v>110421350</v>
      </c>
      <c r="X361" s="59">
        <f t="shared" si="223"/>
        <v>87.9337111835286</v>
      </c>
      <c r="Y361" s="25"/>
      <c r="Z361" s="59"/>
      <c r="AA361" s="25"/>
      <c r="AB361" s="59"/>
      <c r="AC361" s="25"/>
      <c r="AD361" s="25"/>
      <c r="AE361" s="25"/>
      <c r="AF361" s="25"/>
      <c r="AI361" s="25"/>
      <c r="AJ361" s="25"/>
      <c r="AK361" s="25">
        <v>114901224</v>
      </c>
      <c r="AL361" s="25">
        <f t="shared" si="211"/>
        <v>0</v>
      </c>
      <c r="AM361" s="25">
        <f t="shared" si="212"/>
        <v>114901224</v>
      </c>
    </row>
    <row r="362" spans="1:39" ht="12.75">
      <c r="A362" s="29">
        <v>4203</v>
      </c>
      <c r="C362" s="1" t="s">
        <v>539</v>
      </c>
      <c r="D362" s="25"/>
      <c r="E362" s="25"/>
      <c r="F362" s="25"/>
      <c r="G362" s="25"/>
      <c r="H362" s="25"/>
      <c r="I362" s="25">
        <f>'[1]odhodki-post-konti (2)'!AU1397</f>
        <v>1500000</v>
      </c>
      <c r="J362" s="25">
        <v>4265510.62</v>
      </c>
      <c r="K362" s="25">
        <v>8000000</v>
      </c>
      <c r="L362" s="59">
        <f t="shared" si="216"/>
        <v>187.5508166007098</v>
      </c>
      <c r="M362" s="25">
        <v>8000000</v>
      </c>
      <c r="N362" s="26">
        <f t="shared" si="217"/>
        <v>0.0004901145299805199</v>
      </c>
      <c r="O362" s="25">
        <v>3000000</v>
      </c>
      <c r="P362" s="26">
        <f t="shared" si="218"/>
        <v>0.00021350475028124473</v>
      </c>
      <c r="Q362" s="59">
        <f t="shared" si="213"/>
        <v>70.33155622526618</v>
      </c>
      <c r="R362" s="59">
        <f t="shared" si="219"/>
        <v>37.5</v>
      </c>
      <c r="S362" s="25">
        <v>8000000</v>
      </c>
      <c r="T362" s="26">
        <f t="shared" si="220"/>
        <v>0.0004911743223696193</v>
      </c>
      <c r="U362" s="59">
        <f t="shared" si="221"/>
        <v>100</v>
      </c>
      <c r="V362" s="59">
        <f t="shared" si="222"/>
        <v>266.66666666666663</v>
      </c>
      <c r="W362" s="25">
        <v>7000000</v>
      </c>
      <c r="X362" s="59">
        <f t="shared" si="223"/>
        <v>87.5</v>
      </c>
      <c r="Y362" s="25"/>
      <c r="Z362" s="59"/>
      <c r="AA362" s="25"/>
      <c r="AB362" s="59"/>
      <c r="AC362" s="25"/>
      <c r="AD362" s="25"/>
      <c r="AE362" s="25"/>
      <c r="AF362" s="25"/>
      <c r="AI362" s="25"/>
      <c r="AJ362" s="25"/>
      <c r="AK362" s="25">
        <v>8000000</v>
      </c>
      <c r="AL362" s="25">
        <f t="shared" si="211"/>
        <v>0</v>
      </c>
      <c r="AM362" s="25">
        <f t="shared" si="212"/>
        <v>8000000</v>
      </c>
    </row>
    <row r="363" spans="1:39" ht="12.75">
      <c r="A363" s="29">
        <v>4204</v>
      </c>
      <c r="C363" s="1" t="s">
        <v>540</v>
      </c>
      <c r="D363" s="25"/>
      <c r="E363" s="25"/>
      <c r="F363" s="25"/>
      <c r="G363" s="25"/>
      <c r="H363" s="25"/>
      <c r="I363" s="25">
        <f>'[1]odhodki-post-konti (2)'!AV1397</f>
        <v>671291275</v>
      </c>
      <c r="J363" s="25">
        <v>1307539988.86</v>
      </c>
      <c r="K363" s="25">
        <v>387714700</v>
      </c>
      <c r="L363" s="59">
        <f t="shared" si="216"/>
        <v>29.652225041165693</v>
      </c>
      <c r="M363" s="25">
        <v>605641600</v>
      </c>
      <c r="N363" s="26">
        <f t="shared" si="217"/>
        <v>0.03710421851508125</v>
      </c>
      <c r="O363" s="25">
        <v>257239352</v>
      </c>
      <c r="P363" s="26">
        <f t="shared" si="218"/>
        <v>0.01830727453708974</v>
      </c>
      <c r="Q363" s="59">
        <f t="shared" si="213"/>
        <v>19.673536120625904</v>
      </c>
      <c r="R363" s="59">
        <f t="shared" si="219"/>
        <v>42.47385780633299</v>
      </c>
      <c r="S363" s="25">
        <v>454470254</v>
      </c>
      <c r="T363" s="26">
        <f t="shared" si="220"/>
        <v>0.02790301488069985</v>
      </c>
      <c r="U363" s="59">
        <f t="shared" si="221"/>
        <v>75.039471198808</v>
      </c>
      <c r="V363" s="59">
        <f t="shared" si="222"/>
        <v>176.67213451851643</v>
      </c>
      <c r="W363" s="25">
        <v>455000000</v>
      </c>
      <c r="X363" s="59">
        <f t="shared" si="223"/>
        <v>100.1165634043895</v>
      </c>
      <c r="Y363" s="25"/>
      <c r="Z363" s="59"/>
      <c r="AA363" s="25"/>
      <c r="AB363" s="59"/>
      <c r="AC363" s="25"/>
      <c r="AD363" s="25"/>
      <c r="AE363" s="25"/>
      <c r="AF363" s="25"/>
      <c r="AI363" s="25"/>
      <c r="AJ363" s="25"/>
      <c r="AK363" s="25">
        <v>453000000</v>
      </c>
      <c r="AL363" s="25">
        <f t="shared" si="211"/>
        <v>0</v>
      </c>
      <c r="AM363" s="25">
        <f t="shared" si="212"/>
        <v>453000000</v>
      </c>
    </row>
    <row r="364" spans="1:39" ht="12.75">
      <c r="A364" s="29">
        <v>4205</v>
      </c>
      <c r="C364" s="1" t="s">
        <v>541</v>
      </c>
      <c r="D364" s="25"/>
      <c r="E364" s="25"/>
      <c r="F364" s="25"/>
      <c r="G364" s="25"/>
      <c r="H364" s="25"/>
      <c r="I364" s="25">
        <f>'[1]odhodki-post-konti (2)'!AW1397</f>
        <v>93385800</v>
      </c>
      <c r="J364" s="25">
        <v>167373780.21</v>
      </c>
      <c r="K364" s="25">
        <v>121200000</v>
      </c>
      <c r="L364" s="59">
        <f t="shared" si="216"/>
        <v>72.41277567366475</v>
      </c>
      <c r="M364" s="25">
        <v>169105700</v>
      </c>
      <c r="N364" s="26">
        <f t="shared" si="217"/>
        <v>0.01036014508406585</v>
      </c>
      <c r="O364" s="25">
        <v>158979762</v>
      </c>
      <c r="P364" s="26">
        <f t="shared" si="218"/>
        <v>0.011314311461860575</v>
      </c>
      <c r="Q364" s="59">
        <f t="shared" si="213"/>
        <v>94.98486668612716</v>
      </c>
      <c r="R364" s="59">
        <f t="shared" si="219"/>
        <v>94.01206582628498</v>
      </c>
      <c r="S364" s="25">
        <v>169029343</v>
      </c>
      <c r="T364" s="26">
        <f t="shared" si="220"/>
        <v>0.01037785912607587</v>
      </c>
      <c r="U364" s="59">
        <f t="shared" si="221"/>
        <v>99.9548465841187</v>
      </c>
      <c r="V364" s="59">
        <f t="shared" si="222"/>
        <v>106.32129578857968</v>
      </c>
      <c r="W364" s="25">
        <v>160100000</v>
      </c>
      <c r="X364" s="59">
        <f t="shared" si="223"/>
        <v>94.71728231233793</v>
      </c>
      <c r="Y364" s="25"/>
      <c r="Z364" s="59"/>
      <c r="AA364" s="25"/>
      <c r="AB364" s="59"/>
      <c r="AC364" s="25"/>
      <c r="AD364" s="25"/>
      <c r="AE364" s="25"/>
      <c r="AF364" s="25"/>
      <c r="AI364" s="25"/>
      <c r="AJ364" s="25"/>
      <c r="AK364" s="25">
        <v>152400000</v>
      </c>
      <c r="AL364" s="25">
        <f t="shared" si="211"/>
        <v>0</v>
      </c>
      <c r="AM364" s="25">
        <f t="shared" si="212"/>
        <v>152400000</v>
      </c>
    </row>
    <row r="365" spans="1:39" ht="12.75">
      <c r="A365" s="29">
        <v>4206</v>
      </c>
      <c r="C365" s="1" t="s">
        <v>542</v>
      </c>
      <c r="D365" s="25"/>
      <c r="E365" s="25"/>
      <c r="F365" s="25"/>
      <c r="G365" s="25"/>
      <c r="H365" s="25"/>
      <c r="I365" s="25">
        <f>'[1]odhodki-post-konti (2)'!AX1397</f>
        <v>215915751</v>
      </c>
      <c r="J365" s="25">
        <v>320220147.86</v>
      </c>
      <c r="K365" s="25">
        <v>349800000</v>
      </c>
      <c r="L365" s="59">
        <f t="shared" si="216"/>
        <v>109.23734884818437</v>
      </c>
      <c r="M365" s="25">
        <v>303101060</v>
      </c>
      <c r="N365" s="26">
        <f t="shared" si="217"/>
        <v>0.018569279194812167</v>
      </c>
      <c r="O365" s="25">
        <v>75500000</v>
      </c>
      <c r="P365" s="26">
        <f t="shared" si="218"/>
        <v>0.005373202882077993</v>
      </c>
      <c r="Q365" s="59">
        <f t="shared" si="213"/>
        <v>23.57752955413928</v>
      </c>
      <c r="R365" s="59">
        <f t="shared" si="219"/>
        <v>24.90918375541148</v>
      </c>
      <c r="S365" s="25">
        <v>392499760</v>
      </c>
      <c r="T365" s="26">
        <f t="shared" si="220"/>
        <v>0.024098225456029777</v>
      </c>
      <c r="U365" s="59">
        <f t="shared" si="221"/>
        <v>129.49468405026363</v>
      </c>
      <c r="V365" s="59">
        <f t="shared" si="222"/>
        <v>519.8672317880795</v>
      </c>
      <c r="W365" s="25">
        <v>25000000</v>
      </c>
      <c r="X365" s="59">
        <f t="shared" si="223"/>
        <v>6.369430646276064</v>
      </c>
      <c r="Y365" s="25"/>
      <c r="Z365" s="59"/>
      <c r="AA365" s="25"/>
      <c r="AB365" s="59"/>
      <c r="AC365" s="25"/>
      <c r="AD365" s="25"/>
      <c r="AE365" s="25"/>
      <c r="AF365" s="25"/>
      <c r="AI365" s="25"/>
      <c r="AJ365" s="25"/>
      <c r="AK365" s="25">
        <v>113435000</v>
      </c>
      <c r="AL365" s="25">
        <f t="shared" si="211"/>
        <v>0</v>
      </c>
      <c r="AM365" s="25">
        <f t="shared" si="212"/>
        <v>113435000</v>
      </c>
    </row>
    <row r="366" spans="1:39" ht="12.75">
      <c r="A366" s="29">
        <v>4207</v>
      </c>
      <c r="C366" s="1" t="s">
        <v>543</v>
      </c>
      <c r="D366" s="25"/>
      <c r="E366" s="25"/>
      <c r="F366" s="25"/>
      <c r="G366" s="25"/>
      <c r="H366" s="25"/>
      <c r="I366" s="25"/>
      <c r="J366" s="25">
        <v>4477560</v>
      </c>
      <c r="K366" s="25"/>
      <c r="L366" s="59">
        <f t="shared" si="216"/>
        <v>0</v>
      </c>
      <c r="M366" s="25">
        <v>10154520</v>
      </c>
      <c r="N366" s="26">
        <f t="shared" si="217"/>
        <v>0.0006221097246222236</v>
      </c>
      <c r="O366" s="25">
        <v>10154520</v>
      </c>
      <c r="P366" s="26">
        <f t="shared" si="218"/>
        <v>0.0007226794189419684</v>
      </c>
      <c r="Q366" s="59">
        <f t="shared" si="213"/>
        <v>226.78691072816446</v>
      </c>
      <c r="R366" s="59">
        <f t="shared" si="219"/>
        <v>100</v>
      </c>
      <c r="S366" s="25">
        <v>10300000</v>
      </c>
      <c r="T366" s="26">
        <f t="shared" si="220"/>
        <v>0.000632386940050885</v>
      </c>
      <c r="U366" s="59">
        <f t="shared" si="221"/>
        <v>101.43266249906446</v>
      </c>
      <c r="V366" s="59">
        <f t="shared" si="222"/>
        <v>101.43266249906446</v>
      </c>
      <c r="W366" s="25">
        <v>10500000</v>
      </c>
      <c r="X366" s="59">
        <f t="shared" si="223"/>
        <v>101.94174757281553</v>
      </c>
      <c r="Y366" s="25"/>
      <c r="Z366" s="59"/>
      <c r="AA366" s="25"/>
      <c r="AB366" s="59"/>
      <c r="AC366" s="25"/>
      <c r="AD366" s="25"/>
      <c r="AE366" s="25"/>
      <c r="AF366" s="25"/>
      <c r="AI366" s="25"/>
      <c r="AJ366" s="25"/>
      <c r="AK366" s="25">
        <v>10300000</v>
      </c>
      <c r="AL366" s="25">
        <f t="shared" si="211"/>
        <v>0</v>
      </c>
      <c r="AM366" s="25">
        <f t="shared" si="212"/>
        <v>10300000</v>
      </c>
    </row>
    <row r="367" spans="1:39" ht="12.75">
      <c r="A367" s="29">
        <v>4208</v>
      </c>
      <c r="C367" s="1" t="s">
        <v>544</v>
      </c>
      <c r="D367" s="25"/>
      <c r="E367" s="25"/>
      <c r="F367" s="25"/>
      <c r="G367" s="25"/>
      <c r="H367" s="25"/>
      <c r="I367" s="25">
        <f>'[1]odhodki-post-konti (2)'!AY1397</f>
        <v>159488185</v>
      </c>
      <c r="J367" s="25">
        <v>94351879.52</v>
      </c>
      <c r="K367" s="25">
        <v>272045000</v>
      </c>
      <c r="L367" s="59">
        <f t="shared" si="216"/>
        <v>288.33023929569305</v>
      </c>
      <c r="M367" s="25">
        <v>317346230</v>
      </c>
      <c r="N367" s="26">
        <f t="shared" si="217"/>
        <v>0.019441999794692494</v>
      </c>
      <c r="O367" s="25">
        <v>136674217</v>
      </c>
      <c r="P367" s="26">
        <f t="shared" si="218"/>
        <v>0.009726864856823218</v>
      </c>
      <c r="Q367" s="59">
        <f t="shared" si="213"/>
        <v>144.85584992615736</v>
      </c>
      <c r="R367" s="59">
        <f t="shared" si="219"/>
        <v>43.067855887243404</v>
      </c>
      <c r="S367" s="25">
        <v>363570248</v>
      </c>
      <c r="T367" s="26">
        <f t="shared" si="220"/>
        <v>0.022322046274394308</v>
      </c>
      <c r="U367" s="59">
        <f t="shared" si="221"/>
        <v>114.56580026175196</v>
      </c>
      <c r="V367" s="59">
        <f t="shared" si="222"/>
        <v>266.0123145245456</v>
      </c>
      <c r="W367" s="25">
        <v>227046000</v>
      </c>
      <c r="X367" s="59">
        <f t="shared" si="223"/>
        <v>62.44900435307347</v>
      </c>
      <c r="Y367" s="25"/>
      <c r="Z367" s="59"/>
      <c r="AA367" s="25"/>
      <c r="AB367" s="59"/>
      <c r="AC367" s="25"/>
      <c r="AD367" s="25"/>
      <c r="AE367" s="25"/>
      <c r="AF367" s="25"/>
      <c r="AI367" s="25"/>
      <c r="AJ367" s="25"/>
      <c r="AK367" s="25">
        <v>281965000</v>
      </c>
      <c r="AL367" s="25">
        <f t="shared" si="211"/>
        <v>0</v>
      </c>
      <c r="AM367" s="25">
        <f t="shared" si="212"/>
        <v>281965000</v>
      </c>
    </row>
    <row r="368" spans="1:39" ht="12.75">
      <c r="A368" s="29"/>
      <c r="D368" s="25"/>
      <c r="E368" s="25"/>
      <c r="F368" s="25"/>
      <c r="G368" s="25"/>
      <c r="H368" s="25"/>
      <c r="I368" s="25"/>
      <c r="J368" s="25"/>
      <c r="K368" s="25"/>
      <c r="L368" s="59"/>
      <c r="M368" s="25"/>
      <c r="N368" s="26"/>
      <c r="O368" s="25"/>
      <c r="P368" s="26"/>
      <c r="Q368" s="59" t="e">
        <f t="shared" si="213"/>
        <v>#DIV/0!</v>
      </c>
      <c r="R368" s="59"/>
      <c r="S368" s="25"/>
      <c r="T368" s="26"/>
      <c r="U368" s="59"/>
      <c r="V368" s="59"/>
      <c r="W368" s="25"/>
      <c r="X368" s="59"/>
      <c r="Y368" s="25"/>
      <c r="Z368" s="59"/>
      <c r="AA368" s="25"/>
      <c r="AB368" s="59"/>
      <c r="AC368" s="25"/>
      <c r="AD368" s="25"/>
      <c r="AE368" s="25"/>
      <c r="AF368" s="25"/>
      <c r="AI368" s="25"/>
      <c r="AJ368" s="25"/>
      <c r="AK368" s="25"/>
      <c r="AL368" s="25">
        <f t="shared" si="211"/>
        <v>0</v>
      </c>
      <c r="AM368" s="25">
        <f t="shared" si="212"/>
        <v>0</v>
      </c>
    </row>
    <row r="369" spans="1:39" s="27" customFormat="1" ht="15.75">
      <c r="A369" s="28">
        <v>43</v>
      </c>
      <c r="C369" s="27" t="s">
        <v>545</v>
      </c>
      <c r="D369" s="19">
        <f aca="true" t="shared" si="224" ref="D369:K369">D371</f>
        <v>0</v>
      </c>
      <c r="E369" s="19">
        <f t="shared" si="224"/>
        <v>0</v>
      </c>
      <c r="F369" s="19">
        <f t="shared" si="224"/>
        <v>0</v>
      </c>
      <c r="G369" s="19">
        <f t="shared" si="224"/>
        <v>0</v>
      </c>
      <c r="H369" s="19">
        <f t="shared" si="224"/>
        <v>0</v>
      </c>
      <c r="I369" s="19">
        <f t="shared" si="224"/>
        <v>5159963141</v>
      </c>
      <c r="J369" s="19">
        <f t="shared" si="224"/>
        <v>1170960739.77</v>
      </c>
      <c r="K369" s="19">
        <f t="shared" si="224"/>
        <v>4853710200</v>
      </c>
      <c r="L369" s="20">
        <f>K369/J369*100</f>
        <v>414.5066555308563</v>
      </c>
      <c r="M369" s="19">
        <f>M371</f>
        <v>5381924950</v>
      </c>
      <c r="N369" s="21">
        <f>M369/$M$285</f>
        <v>0.32971995215746036</v>
      </c>
      <c r="O369" s="19">
        <f>O371</f>
        <v>4222423950</v>
      </c>
      <c r="P369" s="21">
        <f>O369/$O$285</f>
        <v>0.30050252367543234</v>
      </c>
      <c r="Q369" s="20">
        <f t="shared" si="213"/>
        <v>360.5948352144896</v>
      </c>
      <c r="R369" s="20">
        <f>O369/M369*100</f>
        <v>78.45564531701618</v>
      </c>
      <c r="S369" s="19">
        <f>S371</f>
        <v>4509347395</v>
      </c>
      <c r="T369" s="21">
        <f>S369/$S$285</f>
        <v>0.27685945638354165</v>
      </c>
      <c r="U369" s="20">
        <f>S369/M369*100</f>
        <v>83.78688734780665</v>
      </c>
      <c r="V369" s="20">
        <f>S369/O369*100</f>
        <v>106.79523061629091</v>
      </c>
      <c r="W369" s="19">
        <f>W371</f>
        <v>3412426200</v>
      </c>
      <c r="X369" s="20">
        <f>W369/S369*100</f>
        <v>75.67450234115307</v>
      </c>
      <c r="Y369" s="19">
        <f>Y371</f>
        <v>0</v>
      </c>
      <c r="Z369" s="20"/>
      <c r="AA369" s="19">
        <f>AA371</f>
        <v>0</v>
      </c>
      <c r="AB369" s="20"/>
      <c r="AC369" s="19"/>
      <c r="AD369" s="19"/>
      <c r="AE369" s="19"/>
      <c r="AF369" s="19"/>
      <c r="AI369" s="19">
        <f>AI371</f>
        <v>0</v>
      </c>
      <c r="AJ369" s="19">
        <f>AJ371</f>
        <v>0</v>
      </c>
      <c r="AK369" s="19">
        <f>AK371</f>
        <v>3496499600</v>
      </c>
      <c r="AL369" s="19">
        <f t="shared" si="211"/>
        <v>0</v>
      </c>
      <c r="AM369" s="19">
        <f t="shared" si="212"/>
        <v>3496499600</v>
      </c>
    </row>
    <row r="370" spans="1:39" ht="12.75">
      <c r="A370" s="29"/>
      <c r="D370" s="25"/>
      <c r="E370" s="25"/>
      <c r="F370" s="25"/>
      <c r="G370" s="25"/>
      <c r="H370" s="25"/>
      <c r="I370" s="25"/>
      <c r="J370" s="25"/>
      <c r="K370" s="25"/>
      <c r="L370" s="59"/>
      <c r="M370" s="25"/>
      <c r="N370" s="26"/>
      <c r="O370" s="25"/>
      <c r="P370" s="26"/>
      <c r="Q370" s="59" t="e">
        <f t="shared" si="213"/>
        <v>#DIV/0!</v>
      </c>
      <c r="R370" s="59"/>
      <c r="S370" s="25"/>
      <c r="T370" s="26"/>
      <c r="U370" s="59"/>
      <c r="V370" s="59"/>
      <c r="W370" s="25"/>
      <c r="X370" s="59"/>
      <c r="Y370" s="25"/>
      <c r="Z370" s="59"/>
      <c r="AA370" s="25"/>
      <c r="AB370" s="59"/>
      <c r="AC370" s="25"/>
      <c r="AD370" s="25"/>
      <c r="AE370" s="25"/>
      <c r="AF370" s="25"/>
      <c r="AI370" s="25"/>
      <c r="AJ370" s="25"/>
      <c r="AK370" s="25"/>
      <c r="AL370" s="25">
        <f t="shared" si="211"/>
        <v>0</v>
      </c>
      <c r="AM370" s="25">
        <f t="shared" si="212"/>
        <v>0</v>
      </c>
    </row>
    <row r="371" spans="1:39" s="35" customFormat="1" ht="12.75">
      <c r="A371" s="34">
        <v>430</v>
      </c>
      <c r="C371" s="35" t="s">
        <v>546</v>
      </c>
      <c r="D371" s="36">
        <f aca="true" t="shared" si="225" ref="D371:K371">SUM(D372:D380)</f>
        <v>0</v>
      </c>
      <c r="E371" s="36">
        <f t="shared" si="225"/>
        <v>0</v>
      </c>
      <c r="F371" s="36">
        <f t="shared" si="225"/>
        <v>0</v>
      </c>
      <c r="G371" s="36">
        <f t="shared" si="225"/>
        <v>0</v>
      </c>
      <c r="H371" s="36">
        <f t="shared" si="225"/>
        <v>0</v>
      </c>
      <c r="I371" s="36">
        <f t="shared" si="225"/>
        <v>5159963141</v>
      </c>
      <c r="J371" s="36">
        <f t="shared" si="225"/>
        <v>1170960739.77</v>
      </c>
      <c r="K371" s="36">
        <f t="shared" si="225"/>
        <v>4853710200</v>
      </c>
      <c r="L371" s="37">
        <f>K371/J371*100</f>
        <v>414.5066555308563</v>
      </c>
      <c r="M371" s="36">
        <f>SUM(M372:M380)</f>
        <v>5381924950</v>
      </c>
      <c r="N371" s="38">
        <f aca="true" t="shared" si="226" ref="N371:N381">M371/$M$285</f>
        <v>0.32971995215746036</v>
      </c>
      <c r="O371" s="36">
        <f>SUM(O372:O380)</f>
        <v>4222423950</v>
      </c>
      <c r="P371" s="38">
        <f aca="true" t="shared" si="227" ref="P371:P379">O371/$O$285</f>
        <v>0.30050252367543234</v>
      </c>
      <c r="Q371" s="37">
        <f t="shared" si="213"/>
        <v>360.5948352144896</v>
      </c>
      <c r="R371" s="37">
        <f>O371/M371*100</f>
        <v>78.45564531701618</v>
      </c>
      <c r="S371" s="36">
        <f>SUM(S372:S380)</f>
        <v>4509347395</v>
      </c>
      <c r="T371" s="38">
        <f aca="true" t="shared" si="228" ref="T371:T379">S371/$S$285</f>
        <v>0.27685945638354165</v>
      </c>
      <c r="U371" s="37">
        <f>S371/M371*100</f>
        <v>83.78688734780665</v>
      </c>
      <c r="V371" s="37">
        <f>S371/O371*100</f>
        <v>106.79523061629091</v>
      </c>
      <c r="W371" s="36">
        <f>SUM(W372:W380)</f>
        <v>3412426200</v>
      </c>
      <c r="X371" s="37">
        <f>W371/S371*100</f>
        <v>75.67450234115307</v>
      </c>
      <c r="Y371" s="36">
        <f>SUM(Y372:Y380)</f>
        <v>0</v>
      </c>
      <c r="Z371" s="37"/>
      <c r="AA371" s="36">
        <f>SUM(AA372:AA380)</f>
        <v>0</v>
      </c>
      <c r="AB371" s="37"/>
      <c r="AC371" s="36"/>
      <c r="AD371" s="36"/>
      <c r="AE371" s="36"/>
      <c r="AF371" s="36"/>
      <c r="AI371" s="36">
        <f>SUM(AI372:AI380)</f>
        <v>0</v>
      </c>
      <c r="AJ371" s="36">
        <f>SUM(AJ372:AJ380)</f>
        <v>0</v>
      </c>
      <c r="AK371" s="36">
        <f>SUM(AK372:AK380)</f>
        <v>3496499600</v>
      </c>
      <c r="AL371" s="36">
        <f t="shared" si="211"/>
        <v>0</v>
      </c>
      <c r="AM371" s="36">
        <f t="shared" si="212"/>
        <v>3496499600</v>
      </c>
    </row>
    <row r="372" spans="1:39" ht="12.75" hidden="1">
      <c r="A372" s="29">
        <v>4300</v>
      </c>
      <c r="C372" s="1" t="s">
        <v>547</v>
      </c>
      <c r="D372" s="25"/>
      <c r="E372" s="25"/>
      <c r="F372" s="25"/>
      <c r="G372" s="25"/>
      <c r="H372" s="25"/>
      <c r="I372" s="25"/>
      <c r="J372" s="25"/>
      <c r="K372" s="25"/>
      <c r="L372" s="59"/>
      <c r="M372" s="25"/>
      <c r="N372" s="26">
        <f t="shared" si="226"/>
        <v>0</v>
      </c>
      <c r="O372" s="25"/>
      <c r="P372" s="26">
        <f t="shared" si="227"/>
        <v>0</v>
      </c>
      <c r="Q372" s="59" t="e">
        <f t="shared" si="213"/>
        <v>#DIV/0!</v>
      </c>
      <c r="R372" s="59"/>
      <c r="S372" s="25"/>
      <c r="T372" s="26">
        <f t="shared" si="228"/>
        <v>0</v>
      </c>
      <c r="U372" s="59"/>
      <c r="V372" s="59"/>
      <c r="W372" s="25"/>
      <c r="X372" s="59"/>
      <c r="Y372" s="25"/>
      <c r="Z372" s="59"/>
      <c r="AA372" s="25"/>
      <c r="AB372" s="59"/>
      <c r="AC372" s="25"/>
      <c r="AD372" s="25"/>
      <c r="AE372" s="25"/>
      <c r="AF372" s="25"/>
      <c r="AI372" s="25"/>
      <c r="AJ372" s="25"/>
      <c r="AK372" s="25"/>
      <c r="AL372" s="25">
        <f t="shared" si="211"/>
        <v>0</v>
      </c>
      <c r="AM372" s="25">
        <f t="shared" si="212"/>
        <v>0</v>
      </c>
    </row>
    <row r="373" spans="1:39" ht="12.75">
      <c r="A373" s="29">
        <v>4301</v>
      </c>
      <c r="C373" s="1" t="s">
        <v>548</v>
      </c>
      <c r="D373" s="25"/>
      <c r="E373" s="25"/>
      <c r="F373" s="25"/>
      <c r="G373" s="25"/>
      <c r="H373" s="25"/>
      <c r="I373" s="25">
        <f>670900000+32900000</f>
        <v>703800000</v>
      </c>
      <c r="J373" s="25">
        <v>348245992.36</v>
      </c>
      <c r="K373" s="25">
        <v>591700000</v>
      </c>
      <c r="L373" s="59">
        <f>K373/J373*100</f>
        <v>169.9086315366205</v>
      </c>
      <c r="M373" s="25">
        <v>591700000</v>
      </c>
      <c r="N373" s="26">
        <f t="shared" si="226"/>
        <v>0.0362500959236842</v>
      </c>
      <c r="O373" s="25">
        <v>485613345</v>
      </c>
      <c r="P373" s="26">
        <f t="shared" si="227"/>
        <v>0.03456025198582165</v>
      </c>
      <c r="Q373" s="59">
        <f t="shared" si="213"/>
        <v>139.4454941775744</v>
      </c>
      <c r="R373" s="59">
        <f>O373/M373*100</f>
        <v>82.0708712185229</v>
      </c>
      <c r="S373" s="25">
        <v>408448300</v>
      </c>
      <c r="T373" s="26">
        <f t="shared" si="228"/>
        <v>0.025077414621940373</v>
      </c>
      <c r="U373" s="59">
        <f>S373/M373*100</f>
        <v>69.0296264999155</v>
      </c>
      <c r="V373" s="59">
        <f>S373/O373*100</f>
        <v>84.10977667839833</v>
      </c>
      <c r="W373" s="25">
        <v>369000000</v>
      </c>
      <c r="X373" s="59">
        <f>W373/S373*100</f>
        <v>90.34191108152488</v>
      </c>
      <c r="Y373" s="25"/>
      <c r="Z373" s="59"/>
      <c r="AA373" s="25"/>
      <c r="AB373" s="59"/>
      <c r="AC373" s="25"/>
      <c r="AD373" s="25"/>
      <c r="AE373" s="25"/>
      <c r="AF373" s="25"/>
      <c r="AI373" s="25"/>
      <c r="AJ373" s="25"/>
      <c r="AK373" s="25">
        <v>370448300</v>
      </c>
      <c r="AL373" s="25">
        <f t="shared" si="211"/>
        <v>0</v>
      </c>
      <c r="AM373" s="25">
        <f t="shared" si="212"/>
        <v>370448300</v>
      </c>
    </row>
    <row r="374" spans="1:39" ht="12.75">
      <c r="A374" s="29">
        <v>4302</v>
      </c>
      <c r="C374" s="1" t="s">
        <v>549</v>
      </c>
      <c r="D374" s="25"/>
      <c r="E374" s="25"/>
      <c r="F374" s="25"/>
      <c r="G374" s="25"/>
      <c r="H374" s="25"/>
      <c r="I374" s="25"/>
      <c r="J374" s="25"/>
      <c r="K374" s="25"/>
      <c r="L374" s="59"/>
      <c r="M374" s="25">
        <v>11600000</v>
      </c>
      <c r="N374" s="26">
        <f t="shared" si="226"/>
        <v>0.0007106660684717538</v>
      </c>
      <c r="O374" s="25">
        <v>7143815</v>
      </c>
      <c r="P374" s="26">
        <f t="shared" si="227"/>
        <v>0.0005084128125434701</v>
      </c>
      <c r="Q374" s="59" t="e">
        <f t="shared" si="213"/>
        <v>#DIV/0!</v>
      </c>
      <c r="R374" s="59"/>
      <c r="S374" s="25">
        <v>1057000</v>
      </c>
      <c r="T374" s="26">
        <f t="shared" si="228"/>
        <v>6.489640734308596E-05</v>
      </c>
      <c r="U374" s="59">
        <f>S374/M374*100</f>
        <v>9.11206896551724</v>
      </c>
      <c r="V374" s="59">
        <f>S374/O374*100</f>
        <v>14.796015854273941</v>
      </c>
      <c r="W374" s="25">
        <v>1000000</v>
      </c>
      <c r="X374" s="59">
        <f>W374/S374*100</f>
        <v>94.6073793755913</v>
      </c>
      <c r="Y374" s="25"/>
      <c r="Z374" s="59"/>
      <c r="AA374" s="25"/>
      <c r="AB374" s="59"/>
      <c r="AC374" s="25"/>
      <c r="AD374" s="25"/>
      <c r="AE374" s="25"/>
      <c r="AF374" s="25"/>
      <c r="AI374" s="25"/>
      <c r="AJ374" s="25"/>
      <c r="AK374" s="25">
        <v>1057000</v>
      </c>
      <c r="AL374" s="25">
        <f t="shared" si="211"/>
        <v>0</v>
      </c>
      <c r="AM374" s="25">
        <f t="shared" si="212"/>
        <v>1057000</v>
      </c>
    </row>
    <row r="375" spans="1:39" ht="12.75">
      <c r="A375" s="29">
        <v>4303</v>
      </c>
      <c r="C375" s="1" t="s">
        <v>550</v>
      </c>
      <c r="D375" s="25"/>
      <c r="E375" s="25"/>
      <c r="F375" s="25"/>
      <c r="G375" s="25"/>
      <c r="H375" s="25"/>
      <c r="I375" s="25">
        <f>'[1]odhodki-post-konti (2)'!BC1397</f>
        <v>1885305900</v>
      </c>
      <c r="J375" s="25">
        <v>342426348.28</v>
      </c>
      <c r="K375" s="25">
        <v>1295768900</v>
      </c>
      <c r="L375" s="59">
        <f>K375/J375*100</f>
        <v>378.4080595750352</v>
      </c>
      <c r="M375" s="25">
        <f>2172523652+96481878</f>
        <v>2269005530</v>
      </c>
      <c r="N375" s="26">
        <f t="shared" si="226"/>
        <v>0.1390090723573938</v>
      </c>
      <c r="O375" s="25">
        <f>1719920592+47747958</f>
        <v>1767668550</v>
      </c>
      <c r="P375" s="26">
        <f t="shared" si="227"/>
        <v>0.12580187744925334</v>
      </c>
      <c r="Q375" s="59">
        <f t="shared" si="213"/>
        <v>516.2186142739776</v>
      </c>
      <c r="R375" s="59">
        <f>O375/M375*100</f>
        <v>77.90499082653183</v>
      </c>
      <c r="S375" s="25">
        <v>2771266265</v>
      </c>
      <c r="T375" s="26">
        <f t="shared" si="228"/>
        <v>0.17014685372714514</v>
      </c>
      <c r="U375" s="59">
        <f>S375/M375*100</f>
        <v>122.13572106190504</v>
      </c>
      <c r="V375" s="59">
        <f>S375/O375*100</f>
        <v>156.77522038846027</v>
      </c>
      <c r="W375" s="25">
        <v>1999786500</v>
      </c>
      <c r="X375" s="59">
        <f>W375/S375*100</f>
        <v>72.16147092239078</v>
      </c>
      <c r="Y375" s="25"/>
      <c r="Z375" s="59"/>
      <c r="AA375" s="25"/>
      <c r="AB375" s="59"/>
      <c r="AC375" s="25"/>
      <c r="AD375" s="25"/>
      <c r="AE375" s="25"/>
      <c r="AF375" s="25"/>
      <c r="AI375" s="25"/>
      <c r="AJ375" s="25"/>
      <c r="AK375" s="25">
        <v>2091210500</v>
      </c>
      <c r="AL375" s="25">
        <f t="shared" si="211"/>
        <v>0</v>
      </c>
      <c r="AM375" s="25">
        <f t="shared" si="212"/>
        <v>2091210500</v>
      </c>
    </row>
    <row r="376" spans="1:39" ht="12.75" hidden="1">
      <c r="A376" s="29">
        <v>4304</v>
      </c>
      <c r="C376" s="1" t="s">
        <v>551</v>
      </c>
      <c r="D376" s="25"/>
      <c r="E376" s="25"/>
      <c r="F376" s="25"/>
      <c r="G376" s="25"/>
      <c r="H376" s="25"/>
      <c r="I376" s="25"/>
      <c r="J376" s="25"/>
      <c r="K376" s="25"/>
      <c r="L376" s="59"/>
      <c r="M376" s="25"/>
      <c r="N376" s="26">
        <f t="shared" si="226"/>
        <v>0</v>
      </c>
      <c r="O376" s="25"/>
      <c r="P376" s="26">
        <f t="shared" si="227"/>
        <v>0</v>
      </c>
      <c r="Q376" s="59" t="e">
        <f t="shared" si="213"/>
        <v>#DIV/0!</v>
      </c>
      <c r="R376" s="59"/>
      <c r="S376" s="25"/>
      <c r="T376" s="26">
        <f t="shared" si="228"/>
        <v>0</v>
      </c>
      <c r="U376" s="59"/>
      <c r="V376" s="59"/>
      <c r="W376" s="25"/>
      <c r="X376" s="59"/>
      <c r="Y376" s="25"/>
      <c r="Z376" s="59"/>
      <c r="AA376" s="25"/>
      <c r="AB376" s="59"/>
      <c r="AC376" s="25"/>
      <c r="AD376" s="25"/>
      <c r="AE376" s="25"/>
      <c r="AF376" s="25"/>
      <c r="AI376" s="25"/>
      <c r="AJ376" s="25"/>
      <c r="AK376" s="25"/>
      <c r="AL376" s="25">
        <f t="shared" si="211"/>
        <v>0</v>
      </c>
      <c r="AM376" s="25">
        <f t="shared" si="212"/>
        <v>0</v>
      </c>
    </row>
    <row r="377" spans="1:39" ht="12.75">
      <c r="A377" s="29">
        <v>4305</v>
      </c>
      <c r="C377" s="1" t="s">
        <v>552</v>
      </c>
      <c r="D377" s="25"/>
      <c r="E377" s="25"/>
      <c r="F377" s="25"/>
      <c r="G377" s="25"/>
      <c r="H377" s="25"/>
      <c r="I377" s="25"/>
      <c r="J377" s="25">
        <v>36630075.17</v>
      </c>
      <c r="K377" s="25"/>
      <c r="L377" s="59"/>
      <c r="M377" s="25">
        <v>124088676</v>
      </c>
      <c r="N377" s="26">
        <f t="shared" si="226"/>
        <v>0.007602207889205627</v>
      </c>
      <c r="O377" s="25">
        <v>127944750</v>
      </c>
      <c r="P377" s="26">
        <f t="shared" si="227"/>
        <v>0.009105603966182096</v>
      </c>
      <c r="Q377" s="59">
        <f t="shared" si="213"/>
        <v>349.28879999893263</v>
      </c>
      <c r="R377" s="59"/>
      <c r="S377" s="25">
        <v>24000000</v>
      </c>
      <c r="T377" s="26">
        <f t="shared" si="228"/>
        <v>0.0014735229671088582</v>
      </c>
      <c r="U377" s="59">
        <f>S377/M377*100</f>
        <v>19.341007393777012</v>
      </c>
      <c r="V377" s="59">
        <f>S377/O377*100</f>
        <v>18.758096756607834</v>
      </c>
      <c r="W377" s="25"/>
      <c r="X377" s="59"/>
      <c r="Y377" s="25"/>
      <c r="Z377" s="59"/>
      <c r="AA377" s="25"/>
      <c r="AB377" s="59"/>
      <c r="AC377" s="25"/>
      <c r="AD377" s="25"/>
      <c r="AE377" s="25"/>
      <c r="AF377" s="25"/>
      <c r="AI377" s="25"/>
      <c r="AJ377" s="25"/>
      <c r="AK377" s="25"/>
      <c r="AL377" s="25">
        <f t="shared" si="211"/>
        <v>0</v>
      </c>
      <c r="AM377" s="25">
        <f t="shared" si="212"/>
        <v>0</v>
      </c>
    </row>
    <row r="378" spans="1:39" ht="12.75" hidden="1">
      <c r="A378" s="29">
        <v>4306</v>
      </c>
      <c r="C378" s="1" t="s">
        <v>553</v>
      </c>
      <c r="D378" s="25"/>
      <c r="E378" s="25"/>
      <c r="F378" s="25"/>
      <c r="G378" s="25"/>
      <c r="H378" s="25"/>
      <c r="I378" s="25"/>
      <c r="J378" s="25"/>
      <c r="K378" s="25"/>
      <c r="L378" s="59"/>
      <c r="M378" s="25"/>
      <c r="N378" s="26">
        <f t="shared" si="226"/>
        <v>0</v>
      </c>
      <c r="O378" s="25"/>
      <c r="P378" s="26">
        <f t="shared" si="227"/>
        <v>0</v>
      </c>
      <c r="Q378" s="59" t="e">
        <f t="shared" si="213"/>
        <v>#DIV/0!</v>
      </c>
      <c r="R378" s="59"/>
      <c r="S378" s="25"/>
      <c r="T378" s="26">
        <f t="shared" si="228"/>
        <v>0</v>
      </c>
      <c r="U378" s="59"/>
      <c r="V378" s="59"/>
      <c r="W378" s="25"/>
      <c r="X378" s="59"/>
      <c r="Y378" s="25"/>
      <c r="Z378" s="59"/>
      <c r="AA378" s="25"/>
      <c r="AB378" s="59"/>
      <c r="AC378" s="25"/>
      <c r="AD378" s="25"/>
      <c r="AE378" s="25"/>
      <c r="AF378" s="25"/>
      <c r="AI378" s="25"/>
      <c r="AJ378" s="25"/>
      <c r="AK378" s="25"/>
      <c r="AL378" s="25">
        <f t="shared" si="211"/>
        <v>0</v>
      </c>
      <c r="AM378" s="25">
        <f t="shared" si="212"/>
        <v>0</v>
      </c>
    </row>
    <row r="379" spans="1:39" ht="12.75">
      <c r="A379" s="29">
        <v>4307</v>
      </c>
      <c r="C379" s="1" t="s">
        <v>554</v>
      </c>
      <c r="D379" s="25"/>
      <c r="E379" s="25"/>
      <c r="F379" s="25"/>
      <c r="G379" s="25"/>
      <c r="H379" s="25"/>
      <c r="I379" s="25">
        <f>'[1]odhodki-post-konti (2)'!BG1397</f>
        <v>2570857241</v>
      </c>
      <c r="J379" s="25">
        <v>443658323.96</v>
      </c>
      <c r="K379" s="25">
        <v>2966241300</v>
      </c>
      <c r="L379" s="59">
        <f>K379/J379*100</f>
        <v>668.5868696261483</v>
      </c>
      <c r="M379" s="25">
        <v>2385530744</v>
      </c>
      <c r="N379" s="26">
        <f t="shared" si="226"/>
        <v>0.146147909918705</v>
      </c>
      <c r="O379" s="25">
        <v>1834053490</v>
      </c>
      <c r="P379" s="26">
        <f t="shared" si="227"/>
        <v>0.1305263774616318</v>
      </c>
      <c r="Q379" s="59">
        <f t="shared" si="213"/>
        <v>413.39323324977386</v>
      </c>
      <c r="R379" s="59">
        <f>O379/M379*100</f>
        <v>76.88240843732342</v>
      </c>
      <c r="S379" s="25">
        <v>1304575830</v>
      </c>
      <c r="T379" s="26">
        <f t="shared" si="228"/>
        <v>0.08009676866000422</v>
      </c>
      <c r="U379" s="59">
        <f>S379/M379*100</f>
        <v>54.687026494260095</v>
      </c>
      <c r="V379" s="59">
        <f>S379/O379*100</f>
        <v>71.13074057616498</v>
      </c>
      <c r="W379" s="25">
        <v>1042639700</v>
      </c>
      <c r="X379" s="59">
        <f>W379/S379*100</f>
        <v>79.92173977345571</v>
      </c>
      <c r="Y379" s="25"/>
      <c r="Z379" s="59"/>
      <c r="AA379" s="25"/>
      <c r="AB379" s="59"/>
      <c r="AC379" s="25"/>
      <c r="AD379" s="25"/>
      <c r="AE379" s="25"/>
      <c r="AF379" s="25"/>
      <c r="AI379" s="25"/>
      <c r="AJ379" s="25"/>
      <c r="AK379" s="25">
        <v>1033783800</v>
      </c>
      <c r="AL379" s="25">
        <f t="shared" si="211"/>
        <v>0</v>
      </c>
      <c r="AM379" s="25">
        <f t="shared" si="212"/>
        <v>1033783800</v>
      </c>
    </row>
    <row r="380" spans="1:39" ht="15.75" hidden="1">
      <c r="A380" s="29">
        <v>4308</v>
      </c>
      <c r="C380" s="1" t="s">
        <v>555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1">
        <f t="shared" si="226"/>
        <v>0</v>
      </c>
      <c r="O380" s="25"/>
      <c r="P380" s="25"/>
      <c r="Q380" s="25" t="e">
        <f t="shared" si="213"/>
        <v>#DIV/0!</v>
      </c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I380" s="25"/>
      <c r="AJ380" s="25"/>
      <c r="AK380" s="25"/>
      <c r="AL380" s="25">
        <f t="shared" si="211"/>
        <v>0</v>
      </c>
      <c r="AM380" s="25">
        <f t="shared" si="212"/>
        <v>0</v>
      </c>
    </row>
    <row r="381" spans="1:39" ht="15.75">
      <c r="A381" s="29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1">
        <f t="shared" si="226"/>
        <v>0</v>
      </c>
      <c r="O381" s="25"/>
      <c r="P381" s="25"/>
      <c r="Q381" s="25" t="e">
        <f t="shared" si="213"/>
        <v>#DIV/0!</v>
      </c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I381" s="25"/>
      <c r="AJ381" s="25"/>
      <c r="AK381" s="25"/>
      <c r="AL381" s="25">
        <f t="shared" si="211"/>
        <v>0</v>
      </c>
      <c r="AM381" s="25">
        <f t="shared" si="212"/>
        <v>0</v>
      </c>
    </row>
    <row r="382" spans="1:39" ht="12.75">
      <c r="A382" s="29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I382" s="25"/>
      <c r="AJ382" s="25"/>
      <c r="AK382" s="25"/>
      <c r="AL382" s="25"/>
      <c r="AM382" s="25"/>
    </row>
    <row r="383" spans="1:39" ht="15.75">
      <c r="A383" s="28"/>
      <c r="B383" s="17" t="s">
        <v>556</v>
      </c>
      <c r="C383" s="60" t="s">
        <v>557</v>
      </c>
      <c r="D383" s="19">
        <f aca="true" t="shared" si="229" ref="D383:K383">D9-D285</f>
        <v>-2281598000</v>
      </c>
      <c r="E383" s="19">
        <f t="shared" si="229"/>
        <v>1676165526.4799995</v>
      </c>
      <c r="F383" s="19">
        <f t="shared" si="229"/>
        <v>-2342314000</v>
      </c>
      <c r="G383" s="19">
        <f t="shared" si="229"/>
        <v>1637842402.6099987</v>
      </c>
      <c r="H383" s="19">
        <f t="shared" si="229"/>
        <v>-2626876066</v>
      </c>
      <c r="I383" s="19">
        <f t="shared" si="229"/>
        <v>-2536712066</v>
      </c>
      <c r="J383" s="19">
        <f t="shared" si="229"/>
        <v>257478381.8199997</v>
      </c>
      <c r="K383" s="19">
        <f t="shared" si="229"/>
        <v>-2385030000</v>
      </c>
      <c r="L383" s="20">
        <f>K383/J383*100</f>
        <v>-926.3030096512523</v>
      </c>
      <c r="M383" s="19">
        <f>M9-M285</f>
        <v>-2778428125</v>
      </c>
      <c r="N383" s="19"/>
      <c r="O383" s="19">
        <f>O9-O285</f>
        <v>-1008385690</v>
      </c>
      <c r="P383" s="19"/>
      <c r="Q383" s="20">
        <f>O383/J383*100</f>
        <v>-391.63897290023806</v>
      </c>
      <c r="R383" s="20">
        <f>O383/M383*100</f>
        <v>36.293387650616296</v>
      </c>
      <c r="S383" s="19">
        <f>S9-S285</f>
        <v>-1756542435</v>
      </c>
      <c r="T383" s="19"/>
      <c r="U383" s="20">
        <f>S383/M383*100</f>
        <v>63.22072610750008</v>
      </c>
      <c r="V383" s="20">
        <f>S383/O383*100</f>
        <v>174.19351071909796</v>
      </c>
      <c r="W383" s="19">
        <f>W9-W285</f>
        <v>-1059438951</v>
      </c>
      <c r="X383" s="20">
        <f>W383/S383*100</f>
        <v>60.313883108665124</v>
      </c>
      <c r="Y383" s="19">
        <f>Y9-Y285</f>
        <v>14272367000</v>
      </c>
      <c r="Z383" s="20"/>
      <c r="AA383" s="19">
        <f>AA9-AA285</f>
        <v>14831752000</v>
      </c>
      <c r="AB383" s="20"/>
      <c r="AC383" s="19"/>
      <c r="AD383" s="19"/>
      <c r="AE383" s="19"/>
      <c r="AF383" s="19"/>
      <c r="AI383" s="19">
        <f>AI9-AI285</f>
        <v>-1014462200</v>
      </c>
      <c r="AJ383" s="19">
        <f>AJ9-AJ285</f>
        <v>-376500000</v>
      </c>
      <c r="AK383" s="19">
        <f>AK9-AK285</f>
        <v>-1756542435</v>
      </c>
      <c r="AL383" s="19">
        <f>AJ383-AI383</f>
        <v>637962200</v>
      </c>
      <c r="AM383" s="19">
        <f>AK383-AJ383</f>
        <v>-1380042435</v>
      </c>
    </row>
    <row r="384" spans="1:39" ht="15.75">
      <c r="A384" s="61"/>
      <c r="B384" s="16"/>
      <c r="C384" s="62" t="s">
        <v>558</v>
      </c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I384" s="23"/>
      <c r="AJ384" s="23"/>
      <c r="AK384" s="23"/>
      <c r="AL384" s="23"/>
      <c r="AM384" s="23"/>
    </row>
    <row r="385" spans="1:39" ht="12.75">
      <c r="A385" s="29"/>
      <c r="C385" s="63" t="s">
        <v>559</v>
      </c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I385" s="25"/>
      <c r="AJ385" s="25"/>
      <c r="AK385" s="25"/>
      <c r="AL385" s="25"/>
      <c r="AM385" s="25"/>
    </row>
    <row r="386" spans="1:39" ht="12.75">
      <c r="A386" s="29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I386" s="25"/>
      <c r="AJ386" s="25"/>
      <c r="AK386" s="25"/>
      <c r="AL386" s="25"/>
      <c r="AM386" s="25"/>
    </row>
    <row r="387" spans="1:39" ht="12.75">
      <c r="A387" s="29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I387" s="25"/>
      <c r="AJ387" s="25"/>
      <c r="AK387" s="25"/>
      <c r="AL387" s="25"/>
      <c r="AM387" s="25"/>
    </row>
    <row r="388" spans="1:39" ht="18">
      <c r="A388" s="64" t="s">
        <v>560</v>
      </c>
      <c r="B388" s="5" t="s">
        <v>561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I388" s="25"/>
      <c r="AJ388" s="25"/>
      <c r="AK388" s="25"/>
      <c r="AL388" s="25"/>
      <c r="AM388" s="25"/>
    </row>
    <row r="389" spans="1:39" ht="12.75">
      <c r="A389" s="65"/>
      <c r="B389" s="9"/>
      <c r="C389" s="9"/>
      <c r="D389" s="66"/>
      <c r="E389" s="66"/>
      <c r="F389" s="66"/>
      <c r="G389" s="66"/>
      <c r="H389" s="66"/>
      <c r="I389" s="66"/>
      <c r="J389" s="66"/>
      <c r="K389" s="66"/>
      <c r="L389" s="10"/>
      <c r="M389" s="66"/>
      <c r="N389" s="66"/>
      <c r="O389" s="66"/>
      <c r="P389" s="66"/>
      <c r="Q389" s="10"/>
      <c r="R389" s="10"/>
      <c r="S389" s="66"/>
      <c r="T389" s="66"/>
      <c r="U389" s="10"/>
      <c r="V389" s="10"/>
      <c r="W389" s="66"/>
      <c r="X389" s="10"/>
      <c r="Y389" s="66"/>
      <c r="Z389" s="10"/>
      <c r="AA389" s="66"/>
      <c r="AB389" s="10"/>
      <c r="AC389" s="66"/>
      <c r="AD389" s="66"/>
      <c r="AE389" s="66"/>
      <c r="AF389" s="66"/>
      <c r="AI389" s="66"/>
      <c r="AJ389" s="66"/>
      <c r="AK389" s="66"/>
      <c r="AL389" s="9"/>
      <c r="AM389" s="9"/>
    </row>
    <row r="390" spans="1:39" ht="12.75">
      <c r="A390" s="11" t="s">
        <v>22</v>
      </c>
      <c r="B390" s="12"/>
      <c r="C390" s="12" t="s">
        <v>23</v>
      </c>
      <c r="D390" s="12" t="s">
        <v>24</v>
      </c>
      <c r="E390" s="12" t="s">
        <v>25</v>
      </c>
      <c r="F390" s="12" t="s">
        <v>24</v>
      </c>
      <c r="G390" s="12" t="s">
        <v>25</v>
      </c>
      <c r="H390" s="12" t="s">
        <v>26</v>
      </c>
      <c r="I390" s="12" t="s">
        <v>27</v>
      </c>
      <c r="J390" s="12" t="s">
        <v>25</v>
      </c>
      <c r="K390" s="12" t="s">
        <v>26</v>
      </c>
      <c r="L390" s="12" t="s">
        <v>28</v>
      </c>
      <c r="M390" s="12" t="s">
        <v>29</v>
      </c>
      <c r="N390" s="12" t="s">
        <v>30</v>
      </c>
      <c r="O390" s="12" t="s">
        <v>31</v>
      </c>
      <c r="P390" s="12" t="s">
        <v>30</v>
      </c>
      <c r="Q390" s="12" t="s">
        <v>28</v>
      </c>
      <c r="R390" s="12" t="s">
        <v>28</v>
      </c>
      <c r="S390" s="12" t="s">
        <v>26</v>
      </c>
      <c r="T390" s="12" t="s">
        <v>30</v>
      </c>
      <c r="U390" s="12" t="s">
        <v>28</v>
      </c>
      <c r="V390" s="12" t="s">
        <v>28</v>
      </c>
      <c r="W390" s="12" t="s">
        <v>26</v>
      </c>
      <c r="X390" s="12" t="s">
        <v>28</v>
      </c>
      <c r="Y390" s="12" t="s">
        <v>26</v>
      </c>
      <c r="Z390" s="12" t="s">
        <v>28</v>
      </c>
      <c r="AA390" s="12" t="s">
        <v>26</v>
      </c>
      <c r="AB390" s="12" t="s">
        <v>28</v>
      </c>
      <c r="AC390" s="12"/>
      <c r="AD390" s="12"/>
      <c r="AE390" s="12"/>
      <c r="AF390" s="12"/>
      <c r="AI390" s="12" t="s">
        <v>32</v>
      </c>
      <c r="AJ390" s="12" t="s">
        <v>32</v>
      </c>
      <c r="AK390" s="12" t="s">
        <v>32</v>
      </c>
      <c r="AL390" s="12" t="s">
        <v>33</v>
      </c>
      <c r="AM390" s="12" t="s">
        <v>33</v>
      </c>
    </row>
    <row r="391" spans="1:39" ht="12.75">
      <c r="A391" s="11" t="s">
        <v>34</v>
      </c>
      <c r="B391" s="12"/>
      <c r="C391" s="12"/>
      <c r="D391" s="12">
        <v>1997</v>
      </c>
      <c r="E391" s="12">
        <v>1997</v>
      </c>
      <c r="F391" s="12">
        <v>1998</v>
      </c>
      <c r="G391" s="12">
        <v>1998</v>
      </c>
      <c r="H391" s="12">
        <v>1999</v>
      </c>
      <c r="I391" s="12">
        <v>1999</v>
      </c>
      <c r="J391" s="12">
        <v>1999</v>
      </c>
      <c r="K391" s="12">
        <v>2000</v>
      </c>
      <c r="L391" s="12" t="s">
        <v>35</v>
      </c>
      <c r="M391" s="12">
        <v>2000</v>
      </c>
      <c r="N391" s="12" t="s">
        <v>36</v>
      </c>
      <c r="O391" s="12">
        <v>2000</v>
      </c>
      <c r="P391" s="12" t="s">
        <v>37</v>
      </c>
      <c r="Q391" s="12" t="s">
        <v>38</v>
      </c>
      <c r="R391" s="12" t="s">
        <v>39</v>
      </c>
      <c r="S391" s="12">
        <v>2001</v>
      </c>
      <c r="T391" s="12" t="s">
        <v>40</v>
      </c>
      <c r="U391" s="12" t="s">
        <v>41</v>
      </c>
      <c r="V391" s="12" t="s">
        <v>39</v>
      </c>
      <c r="W391" s="12">
        <v>2002</v>
      </c>
      <c r="X391" s="12" t="s">
        <v>42</v>
      </c>
      <c r="Y391" s="12">
        <v>2003</v>
      </c>
      <c r="Z391" s="12" t="s">
        <v>43</v>
      </c>
      <c r="AA391" s="12">
        <v>2004</v>
      </c>
      <c r="AB391" s="12" t="s">
        <v>44</v>
      </c>
      <c r="AC391" s="12"/>
      <c r="AD391" s="12"/>
      <c r="AE391" s="12"/>
      <c r="AF391" s="12"/>
      <c r="AI391" s="13">
        <v>36829</v>
      </c>
      <c r="AJ391" s="13" t="s">
        <v>45</v>
      </c>
      <c r="AK391" s="12" t="s">
        <v>46</v>
      </c>
      <c r="AL391" s="14" t="s">
        <v>47</v>
      </c>
      <c r="AM391" s="14" t="s">
        <v>47</v>
      </c>
    </row>
    <row r="392" spans="1:39" ht="13.5" thickBot="1">
      <c r="A392" s="15">
        <v>1</v>
      </c>
      <c r="B392" s="15"/>
      <c r="C392" s="15">
        <v>2</v>
      </c>
      <c r="D392" s="15">
        <v>3</v>
      </c>
      <c r="E392" s="15">
        <v>3</v>
      </c>
      <c r="F392" s="15">
        <v>4</v>
      </c>
      <c r="G392" s="15">
        <v>3</v>
      </c>
      <c r="H392" s="15">
        <v>3</v>
      </c>
      <c r="I392" s="15">
        <v>3</v>
      </c>
      <c r="J392" s="15">
        <v>3</v>
      </c>
      <c r="K392" s="15">
        <v>4</v>
      </c>
      <c r="L392" s="15">
        <v>5</v>
      </c>
      <c r="M392" s="15">
        <v>5</v>
      </c>
      <c r="N392" s="15"/>
      <c r="O392" s="15">
        <v>6</v>
      </c>
      <c r="P392" s="15"/>
      <c r="Q392" s="15">
        <v>8</v>
      </c>
      <c r="R392" s="15">
        <v>9</v>
      </c>
      <c r="S392" s="15">
        <v>7</v>
      </c>
      <c r="T392" s="15"/>
      <c r="U392" s="15">
        <v>8</v>
      </c>
      <c r="V392" s="15">
        <v>9</v>
      </c>
      <c r="W392" s="15">
        <v>10</v>
      </c>
      <c r="X392" s="15">
        <v>11</v>
      </c>
      <c r="Y392" s="15">
        <v>13</v>
      </c>
      <c r="Z392" s="15">
        <v>14</v>
      </c>
      <c r="AA392" s="15">
        <v>15</v>
      </c>
      <c r="AB392" s="15">
        <v>16</v>
      </c>
      <c r="AC392" s="15"/>
      <c r="AD392" s="15"/>
      <c r="AE392" s="15"/>
      <c r="AF392" s="15"/>
      <c r="AI392" s="15">
        <v>3</v>
      </c>
      <c r="AJ392" s="15">
        <v>3</v>
      </c>
      <c r="AK392" s="15">
        <v>4</v>
      </c>
      <c r="AL392" s="15">
        <v>5</v>
      </c>
      <c r="AM392" s="15">
        <v>5</v>
      </c>
    </row>
    <row r="393" spans="1:39" ht="6" customHeight="1" thickTop="1">
      <c r="A393" s="29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I393" s="25"/>
      <c r="AJ393" s="25"/>
      <c r="AK393" s="25"/>
      <c r="AL393" s="25"/>
      <c r="AM393" s="25"/>
    </row>
    <row r="394" spans="1:39" ht="15.75">
      <c r="A394" s="28">
        <v>75</v>
      </c>
      <c r="B394" s="17" t="s">
        <v>562</v>
      </c>
      <c r="C394" s="60" t="s">
        <v>563</v>
      </c>
      <c r="D394" s="19">
        <f aca="true" t="shared" si="230" ref="D394:K394">D398+D402</f>
        <v>13000000</v>
      </c>
      <c r="E394" s="19">
        <f t="shared" si="230"/>
        <v>0</v>
      </c>
      <c r="F394" s="19">
        <f t="shared" si="230"/>
        <v>14000000</v>
      </c>
      <c r="G394" s="19">
        <f t="shared" si="230"/>
        <v>16000000</v>
      </c>
      <c r="H394" s="19">
        <f t="shared" si="230"/>
        <v>6000000</v>
      </c>
      <c r="I394" s="19">
        <f t="shared" si="230"/>
        <v>23636000</v>
      </c>
      <c r="J394" s="19">
        <f t="shared" si="230"/>
        <v>32163959.49</v>
      </c>
      <c r="K394" s="19">
        <f t="shared" si="230"/>
        <v>0</v>
      </c>
      <c r="L394" s="20">
        <f>K394/J394*100</f>
        <v>0</v>
      </c>
      <c r="M394" s="19">
        <f>M398+M402</f>
        <v>0</v>
      </c>
      <c r="N394" s="19"/>
      <c r="O394" s="19">
        <f>O398+O402</f>
        <v>0</v>
      </c>
      <c r="P394" s="19"/>
      <c r="Q394" s="20">
        <f>O394/J394*100</f>
        <v>0</v>
      </c>
      <c r="R394" s="20"/>
      <c r="S394" s="19">
        <f>S398+S402</f>
        <v>0</v>
      </c>
      <c r="T394" s="19"/>
      <c r="U394" s="20"/>
      <c r="V394" s="20"/>
      <c r="W394" s="19">
        <f>W398+W402</f>
        <v>0</v>
      </c>
      <c r="X394" s="20"/>
      <c r="Y394" s="19">
        <f>Y398+Y402</f>
        <v>0</v>
      </c>
      <c r="Z394" s="20"/>
      <c r="AA394" s="19">
        <f>AA398+AA402</f>
        <v>0</v>
      </c>
      <c r="AB394" s="20"/>
      <c r="AC394" s="19"/>
      <c r="AD394" s="19"/>
      <c r="AE394" s="19"/>
      <c r="AF394" s="19"/>
      <c r="AI394" s="19">
        <f>AI398+AI402</f>
        <v>0</v>
      </c>
      <c r="AJ394" s="19">
        <f>AJ398+AJ402</f>
        <v>0</v>
      </c>
      <c r="AK394" s="19">
        <f>AK398+AK402</f>
        <v>0</v>
      </c>
      <c r="AL394" s="19">
        <f>AJ394-AI394</f>
        <v>0</v>
      </c>
      <c r="AM394" s="19">
        <f>AK394-AJ394</f>
        <v>0</v>
      </c>
    </row>
    <row r="395" spans="1:39" ht="15.75">
      <c r="A395" s="28"/>
      <c r="B395" s="27"/>
      <c r="C395" s="67" t="s">
        <v>564</v>
      </c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I395" s="19"/>
      <c r="AJ395" s="19"/>
      <c r="AK395" s="19"/>
      <c r="AL395" s="19"/>
      <c r="AM395" s="19"/>
    </row>
    <row r="396" spans="1:39" ht="12.75">
      <c r="A396" s="29"/>
      <c r="C396" s="30" t="s">
        <v>565</v>
      </c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I396" s="25"/>
      <c r="AJ396" s="25"/>
      <c r="AK396" s="25"/>
      <c r="AL396" s="25"/>
      <c r="AM396" s="25"/>
    </row>
    <row r="397" spans="1:39" ht="6" customHeight="1">
      <c r="A397" s="29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I397" s="25"/>
      <c r="AJ397" s="25"/>
      <c r="AK397" s="25"/>
      <c r="AL397" s="25"/>
      <c r="AM397" s="25"/>
    </row>
    <row r="398" spans="1:39" ht="12.75">
      <c r="A398" s="34">
        <v>750</v>
      </c>
      <c r="B398" s="35"/>
      <c r="C398" s="35" t="s">
        <v>566</v>
      </c>
      <c r="D398" s="36">
        <f aca="true" t="shared" si="231" ref="D398:K398">SUM(D399:D400)</f>
        <v>13000000</v>
      </c>
      <c r="E398" s="36">
        <f t="shared" si="231"/>
        <v>0</v>
      </c>
      <c r="F398" s="36">
        <f t="shared" si="231"/>
        <v>14000000</v>
      </c>
      <c r="G398" s="36">
        <f t="shared" si="231"/>
        <v>16000000</v>
      </c>
      <c r="H398" s="36">
        <f t="shared" si="231"/>
        <v>6000000</v>
      </c>
      <c r="I398" s="36">
        <f t="shared" si="231"/>
        <v>23636000</v>
      </c>
      <c r="J398" s="36">
        <f t="shared" si="231"/>
        <v>32163959.49</v>
      </c>
      <c r="K398" s="36">
        <f t="shared" si="231"/>
        <v>0</v>
      </c>
      <c r="L398" s="37">
        <f>K398/J398*100</f>
        <v>0</v>
      </c>
      <c r="M398" s="36">
        <f>SUM(M399:M400)</f>
        <v>0</v>
      </c>
      <c r="N398" s="36"/>
      <c r="O398" s="36">
        <f>SUM(O399:O400)</f>
        <v>0</v>
      </c>
      <c r="P398" s="36"/>
      <c r="Q398" s="37">
        <f>O398/J398*100</f>
        <v>0</v>
      </c>
      <c r="R398" s="37"/>
      <c r="S398" s="36">
        <f>SUM(S399:S400)</f>
        <v>0</v>
      </c>
      <c r="T398" s="36"/>
      <c r="U398" s="37"/>
      <c r="V398" s="37"/>
      <c r="W398" s="36">
        <f>SUM(W399:W400)</f>
        <v>0</v>
      </c>
      <c r="X398" s="37"/>
      <c r="Y398" s="36">
        <f>SUM(Y399:Y400)</f>
        <v>0</v>
      </c>
      <c r="Z398" s="37"/>
      <c r="AA398" s="36">
        <f>SUM(AA399:AA400)</f>
        <v>0</v>
      </c>
      <c r="AB398" s="37"/>
      <c r="AC398" s="36"/>
      <c r="AD398" s="36"/>
      <c r="AE398" s="36"/>
      <c r="AF398" s="36"/>
      <c r="AI398" s="36">
        <f>SUM(AI399:AI400)</f>
        <v>0</v>
      </c>
      <c r="AJ398" s="36">
        <f>SUM(AJ399:AJ400)</f>
        <v>0</v>
      </c>
      <c r="AK398" s="36">
        <f>SUM(AK399:AK400)</f>
        <v>0</v>
      </c>
      <c r="AL398" s="36">
        <f aca="true" t="shared" si="232" ref="AL398:AM400">AJ398-AI398</f>
        <v>0</v>
      </c>
      <c r="AM398" s="36">
        <f t="shared" si="232"/>
        <v>0</v>
      </c>
    </row>
    <row r="399" spans="1:39" ht="12.75" hidden="1">
      <c r="A399" s="29">
        <v>7500</v>
      </c>
      <c r="C399" s="1" t="s">
        <v>567</v>
      </c>
      <c r="D399" s="25">
        <v>13000000</v>
      </c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 t="e">
        <f>O399/J399*100</f>
        <v>#DIV/0!</v>
      </c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I399" s="25"/>
      <c r="AJ399" s="25"/>
      <c r="AK399" s="25"/>
      <c r="AL399" s="25">
        <f t="shared" si="232"/>
        <v>0</v>
      </c>
      <c r="AM399" s="25">
        <f t="shared" si="232"/>
        <v>0</v>
      </c>
    </row>
    <row r="400" spans="1:39" ht="12.75" hidden="1">
      <c r="A400" s="29">
        <v>7503</v>
      </c>
      <c r="C400" s="1" t="s">
        <v>568</v>
      </c>
      <c r="D400" s="25"/>
      <c r="E400" s="25"/>
      <c r="F400" s="25">
        <v>14000000</v>
      </c>
      <c r="G400" s="25">
        <v>16000000</v>
      </c>
      <c r="H400" s="25">
        <v>6000000</v>
      </c>
      <c r="I400" s="25">
        <v>23636000</v>
      </c>
      <c r="J400" s="25">
        <v>32163959.49</v>
      </c>
      <c r="K400" s="25"/>
      <c r="L400" s="59">
        <f>K400/J400*100</f>
        <v>0</v>
      </c>
      <c r="M400" s="25"/>
      <c r="N400" s="25"/>
      <c r="O400" s="25"/>
      <c r="P400" s="25"/>
      <c r="Q400" s="59">
        <f>O400/J400*100</f>
        <v>0</v>
      </c>
      <c r="R400" s="59" t="e">
        <f>O400/M400*100</f>
        <v>#DIV/0!</v>
      </c>
      <c r="S400" s="25"/>
      <c r="T400" s="25"/>
      <c r="U400" s="59"/>
      <c r="V400" s="59"/>
      <c r="W400" s="25"/>
      <c r="X400" s="59" t="e">
        <f>W400/S400*100</f>
        <v>#DIV/0!</v>
      </c>
      <c r="Y400" s="25"/>
      <c r="Z400" s="59"/>
      <c r="AA400" s="25"/>
      <c r="AB400" s="59"/>
      <c r="AC400" s="25"/>
      <c r="AD400" s="25"/>
      <c r="AE400" s="25"/>
      <c r="AF400" s="25"/>
      <c r="AI400" s="25"/>
      <c r="AJ400" s="25"/>
      <c r="AK400" s="25"/>
      <c r="AL400" s="25">
        <f t="shared" si="232"/>
        <v>0</v>
      </c>
      <c r="AM400" s="25">
        <f t="shared" si="232"/>
        <v>0</v>
      </c>
    </row>
    <row r="401" spans="1:39" ht="6" customHeight="1">
      <c r="A401" s="29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I401" s="25"/>
      <c r="AJ401" s="25"/>
      <c r="AK401" s="25"/>
      <c r="AL401" s="25"/>
      <c r="AM401" s="25"/>
    </row>
    <row r="402" spans="1:39" ht="12.75">
      <c r="A402" s="34">
        <v>751</v>
      </c>
      <c r="B402" s="35"/>
      <c r="C402" s="35" t="s">
        <v>569</v>
      </c>
      <c r="D402" s="36">
        <f aca="true" t="shared" si="233" ref="D402:K402">SUM(D403:D405)</f>
        <v>0</v>
      </c>
      <c r="E402" s="36">
        <f t="shared" si="233"/>
        <v>0</v>
      </c>
      <c r="F402" s="36">
        <f t="shared" si="233"/>
        <v>0</v>
      </c>
      <c r="G402" s="36">
        <f t="shared" si="233"/>
        <v>0</v>
      </c>
      <c r="H402" s="36">
        <f t="shared" si="233"/>
        <v>0</v>
      </c>
      <c r="I402" s="36">
        <f t="shared" si="233"/>
        <v>0</v>
      </c>
      <c r="J402" s="36">
        <f t="shared" si="233"/>
        <v>0</v>
      </c>
      <c r="K402" s="36">
        <f t="shared" si="233"/>
        <v>0</v>
      </c>
      <c r="L402" s="37"/>
      <c r="M402" s="36">
        <f>SUM(M403:M405)</f>
        <v>0</v>
      </c>
      <c r="N402" s="36"/>
      <c r="O402" s="36">
        <f>SUM(O403:O405)</f>
        <v>0</v>
      </c>
      <c r="P402" s="36"/>
      <c r="Q402" s="37"/>
      <c r="R402" s="37"/>
      <c r="S402" s="36">
        <f>SUM(S403:S405)</f>
        <v>0</v>
      </c>
      <c r="T402" s="36"/>
      <c r="U402" s="37"/>
      <c r="V402" s="37"/>
      <c r="W402" s="36">
        <f>SUM(W403:W405)</f>
        <v>0</v>
      </c>
      <c r="X402" s="37"/>
      <c r="Y402" s="36">
        <f>SUM(Y403:Y405)</f>
        <v>0</v>
      </c>
      <c r="Z402" s="37"/>
      <c r="AA402" s="36">
        <f>SUM(AA403:AA405)</f>
        <v>0</v>
      </c>
      <c r="AB402" s="37"/>
      <c r="AC402" s="36"/>
      <c r="AD402" s="36"/>
      <c r="AE402" s="36"/>
      <c r="AF402" s="36"/>
      <c r="AI402" s="36">
        <f>SUM(AI403:AI405)</f>
        <v>0</v>
      </c>
      <c r="AJ402" s="36">
        <f>SUM(AJ403:AJ405)</f>
        <v>0</v>
      </c>
      <c r="AK402" s="36">
        <f>SUM(AK403:AK405)</f>
        <v>0</v>
      </c>
      <c r="AL402" s="36">
        <f aca="true" t="shared" si="234" ref="AL402:AM405">AJ402-AI402</f>
        <v>0</v>
      </c>
      <c r="AM402" s="36">
        <f t="shared" si="234"/>
        <v>0</v>
      </c>
    </row>
    <row r="403" spans="1:39" ht="12.75" hidden="1">
      <c r="A403" s="29">
        <v>7510</v>
      </c>
      <c r="C403" s="1" t="s">
        <v>570</v>
      </c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I403" s="25"/>
      <c r="AJ403" s="25"/>
      <c r="AK403" s="25"/>
      <c r="AL403" s="25">
        <f t="shared" si="234"/>
        <v>0</v>
      </c>
      <c r="AM403" s="25">
        <f t="shared" si="234"/>
        <v>0</v>
      </c>
    </row>
    <row r="404" spans="1:39" ht="12.75" hidden="1">
      <c r="A404" s="29">
        <v>7511</v>
      </c>
      <c r="C404" s="1" t="s">
        <v>571</v>
      </c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I404" s="25"/>
      <c r="AJ404" s="25"/>
      <c r="AK404" s="25"/>
      <c r="AL404" s="25">
        <f t="shared" si="234"/>
        <v>0</v>
      </c>
      <c r="AM404" s="25">
        <f t="shared" si="234"/>
        <v>0</v>
      </c>
    </row>
    <row r="405" spans="1:39" ht="12.75" hidden="1">
      <c r="A405" s="29">
        <v>7512</v>
      </c>
      <c r="C405" s="1" t="s">
        <v>572</v>
      </c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I405" s="25"/>
      <c r="AJ405" s="25"/>
      <c r="AK405" s="25"/>
      <c r="AL405" s="25">
        <f t="shared" si="234"/>
        <v>0</v>
      </c>
      <c r="AM405" s="25">
        <f t="shared" si="234"/>
        <v>0</v>
      </c>
    </row>
    <row r="406" spans="1:39" ht="6" customHeight="1">
      <c r="A406" s="29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I406" s="25"/>
      <c r="AJ406" s="25"/>
      <c r="AK406" s="25"/>
      <c r="AL406" s="25"/>
      <c r="AM406" s="25"/>
    </row>
    <row r="407" spans="1:39" s="27" customFormat="1" ht="15.75">
      <c r="A407" s="28">
        <v>44</v>
      </c>
      <c r="B407" s="17" t="s">
        <v>573</v>
      </c>
      <c r="C407" s="60" t="s">
        <v>574</v>
      </c>
      <c r="D407" s="19">
        <f aca="true" t="shared" si="235" ref="D407:K407">D410+D419</f>
        <v>0</v>
      </c>
      <c r="E407" s="19">
        <f t="shared" si="235"/>
        <v>0</v>
      </c>
      <c r="F407" s="19">
        <f t="shared" si="235"/>
        <v>0</v>
      </c>
      <c r="G407" s="19">
        <f t="shared" si="235"/>
        <v>0</v>
      </c>
      <c r="H407" s="19">
        <f t="shared" si="235"/>
        <v>0</v>
      </c>
      <c r="I407" s="19">
        <f t="shared" si="235"/>
        <v>0</v>
      </c>
      <c r="J407" s="19">
        <f t="shared" si="235"/>
        <v>0</v>
      </c>
      <c r="K407" s="19">
        <f t="shared" si="235"/>
        <v>0</v>
      </c>
      <c r="L407" s="20"/>
      <c r="M407" s="19">
        <f>M410+M419</f>
        <v>18000000</v>
      </c>
      <c r="N407" s="19"/>
      <c r="O407" s="19">
        <f>O410+O419</f>
        <v>18000000</v>
      </c>
      <c r="P407" s="19"/>
      <c r="Q407" s="20"/>
      <c r="R407" s="20">
        <f>O407/M407*100</f>
        <v>100</v>
      </c>
      <c r="S407" s="19">
        <f>S410+S419</f>
        <v>5000000</v>
      </c>
      <c r="T407" s="19"/>
      <c r="U407" s="20">
        <f>S407/M407*100</f>
        <v>27.77777777777778</v>
      </c>
      <c r="V407" s="20">
        <f>S407/O407*100</f>
        <v>27.77777777777778</v>
      </c>
      <c r="W407" s="19">
        <f>W410+W419</f>
        <v>0</v>
      </c>
      <c r="X407" s="20"/>
      <c r="Y407" s="19">
        <f>Y410+Y419</f>
        <v>0</v>
      </c>
      <c r="Z407" s="20"/>
      <c r="AA407" s="19">
        <f>AA410+AA419</f>
        <v>0</v>
      </c>
      <c r="AB407" s="20"/>
      <c r="AC407" s="19"/>
      <c r="AD407" s="19"/>
      <c r="AE407" s="19"/>
      <c r="AF407" s="19"/>
      <c r="AI407" s="19">
        <f>AI410+AI419</f>
        <v>5000000</v>
      </c>
      <c r="AJ407" s="19">
        <f>AJ410+AJ419</f>
        <v>5000000</v>
      </c>
      <c r="AK407" s="19">
        <f>AK410+AK419</f>
        <v>5000000</v>
      </c>
      <c r="AL407" s="19">
        <f>AJ407-AI407</f>
        <v>0</v>
      </c>
      <c r="AM407" s="19">
        <f>AK407-AJ407</f>
        <v>0</v>
      </c>
    </row>
    <row r="408" spans="1:39" s="27" customFormat="1" ht="15.75">
      <c r="A408" s="28"/>
      <c r="C408" s="67" t="s">
        <v>575</v>
      </c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I408" s="19"/>
      <c r="AJ408" s="19"/>
      <c r="AK408" s="19"/>
      <c r="AL408" s="19"/>
      <c r="AM408" s="19"/>
    </row>
    <row r="409" spans="1:39" ht="6" customHeight="1">
      <c r="A409" s="29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I409" s="25"/>
      <c r="AJ409" s="25"/>
      <c r="AK409" s="25"/>
      <c r="AL409" s="25"/>
      <c r="AM409" s="25"/>
    </row>
    <row r="410" spans="1:39" s="35" customFormat="1" ht="15.75">
      <c r="A410" s="34">
        <v>440</v>
      </c>
      <c r="C410" s="35" t="s">
        <v>576</v>
      </c>
      <c r="D410" s="36">
        <f aca="true" t="shared" si="236" ref="D410:K410">SUM(D411:D417)</f>
        <v>0</v>
      </c>
      <c r="E410" s="36">
        <f t="shared" si="236"/>
        <v>0</v>
      </c>
      <c r="F410" s="36">
        <f t="shared" si="236"/>
        <v>0</v>
      </c>
      <c r="G410" s="36">
        <f t="shared" si="236"/>
        <v>0</v>
      </c>
      <c r="H410" s="36">
        <f t="shared" si="236"/>
        <v>0</v>
      </c>
      <c r="I410" s="36">
        <f t="shared" si="236"/>
        <v>0</v>
      </c>
      <c r="J410" s="36">
        <f t="shared" si="236"/>
        <v>0</v>
      </c>
      <c r="K410" s="36">
        <f t="shared" si="236"/>
        <v>0</v>
      </c>
      <c r="L410" s="36"/>
      <c r="M410" s="36">
        <f>SUM(M411:M417)</f>
        <v>18000000</v>
      </c>
      <c r="N410" s="36"/>
      <c r="O410" s="36">
        <f>SUM(O411:O417)</f>
        <v>18000000</v>
      </c>
      <c r="P410" s="36"/>
      <c r="Q410" s="20"/>
      <c r="R410" s="37">
        <f aca="true" t="shared" si="237" ref="R410:R415">O410/M410*100</f>
        <v>100</v>
      </c>
      <c r="S410" s="36">
        <f>SUM(S411:S417)</f>
        <v>5000000</v>
      </c>
      <c r="T410" s="36"/>
      <c r="U410" s="37">
        <f aca="true" t="shared" si="238" ref="U410:U417">S410/M410*100</f>
        <v>27.77777777777778</v>
      </c>
      <c r="V410" s="37">
        <f aca="true" t="shared" si="239" ref="V410:V417">S410/O410*100</f>
        <v>27.77777777777778</v>
      </c>
      <c r="W410" s="36">
        <f>SUM(W411:W417)</f>
        <v>0</v>
      </c>
      <c r="X410" s="36"/>
      <c r="Y410" s="36">
        <f>SUM(Y411:Y417)</f>
        <v>0</v>
      </c>
      <c r="Z410" s="36"/>
      <c r="AA410" s="36">
        <f>SUM(AA411:AA417)</f>
        <v>0</v>
      </c>
      <c r="AB410" s="36"/>
      <c r="AC410" s="36"/>
      <c r="AD410" s="36"/>
      <c r="AE410" s="36"/>
      <c r="AF410" s="36"/>
      <c r="AI410" s="36">
        <f>SUM(AI411:AI417)</f>
        <v>5000000</v>
      </c>
      <c r="AJ410" s="36">
        <f>SUM(AJ411:AJ417)</f>
        <v>5000000</v>
      </c>
      <c r="AK410" s="36">
        <f>SUM(AK411:AK417)</f>
        <v>5000000</v>
      </c>
      <c r="AL410" s="36">
        <f aca="true" t="shared" si="240" ref="AL410:AM417">AJ410-AI410</f>
        <v>0</v>
      </c>
      <c r="AM410" s="36">
        <f t="shared" si="240"/>
        <v>0</v>
      </c>
    </row>
    <row r="411" spans="1:39" ht="15.75" hidden="1">
      <c r="A411" s="29">
        <v>4400</v>
      </c>
      <c r="C411" s="1" t="s">
        <v>577</v>
      </c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0"/>
      <c r="R411" s="37" t="e">
        <f t="shared" si="237"/>
        <v>#DIV/0!</v>
      </c>
      <c r="S411" s="25"/>
      <c r="T411" s="25"/>
      <c r="U411" s="59" t="e">
        <f t="shared" si="238"/>
        <v>#DIV/0!</v>
      </c>
      <c r="V411" s="59" t="e">
        <f t="shared" si="239"/>
        <v>#DIV/0!</v>
      </c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I411" s="25"/>
      <c r="AJ411" s="25"/>
      <c r="AK411" s="25"/>
      <c r="AL411" s="25">
        <f t="shared" si="240"/>
        <v>0</v>
      </c>
      <c r="AM411" s="25">
        <f t="shared" si="240"/>
        <v>0</v>
      </c>
    </row>
    <row r="412" spans="1:39" ht="15.75" hidden="1">
      <c r="A412" s="29">
        <v>4401</v>
      </c>
      <c r="C412" s="1" t="s">
        <v>578</v>
      </c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0"/>
      <c r="R412" s="37" t="e">
        <f t="shared" si="237"/>
        <v>#DIV/0!</v>
      </c>
      <c r="S412" s="25"/>
      <c r="T412" s="25"/>
      <c r="U412" s="59" t="e">
        <f t="shared" si="238"/>
        <v>#DIV/0!</v>
      </c>
      <c r="V412" s="59" t="e">
        <f t="shared" si="239"/>
        <v>#DIV/0!</v>
      </c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I412" s="25"/>
      <c r="AJ412" s="25"/>
      <c r="AK412" s="25"/>
      <c r="AL412" s="25">
        <f t="shared" si="240"/>
        <v>0</v>
      </c>
      <c r="AM412" s="25">
        <f t="shared" si="240"/>
        <v>0</v>
      </c>
    </row>
    <row r="413" spans="1:39" ht="15.75" hidden="1">
      <c r="A413" s="29">
        <v>4402</v>
      </c>
      <c r="C413" s="1" t="s">
        <v>579</v>
      </c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0"/>
      <c r="R413" s="37" t="e">
        <f t="shared" si="237"/>
        <v>#DIV/0!</v>
      </c>
      <c r="S413" s="25"/>
      <c r="T413" s="25"/>
      <c r="U413" s="59" t="e">
        <f t="shared" si="238"/>
        <v>#DIV/0!</v>
      </c>
      <c r="V413" s="59" t="e">
        <f t="shared" si="239"/>
        <v>#DIV/0!</v>
      </c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I413" s="25"/>
      <c r="AJ413" s="25"/>
      <c r="AK413" s="25"/>
      <c r="AL413" s="25">
        <f t="shared" si="240"/>
        <v>0</v>
      </c>
      <c r="AM413" s="25">
        <f t="shared" si="240"/>
        <v>0</v>
      </c>
    </row>
    <row r="414" spans="1:39" ht="15.75" hidden="1">
      <c r="A414" s="29">
        <v>4403</v>
      </c>
      <c r="C414" s="1" t="s">
        <v>580</v>
      </c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0"/>
      <c r="R414" s="37" t="e">
        <f t="shared" si="237"/>
        <v>#DIV/0!</v>
      </c>
      <c r="S414" s="25"/>
      <c r="T414" s="25"/>
      <c r="U414" s="59" t="e">
        <f t="shared" si="238"/>
        <v>#DIV/0!</v>
      </c>
      <c r="V414" s="59" t="e">
        <f t="shared" si="239"/>
        <v>#DIV/0!</v>
      </c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I414" s="25"/>
      <c r="AJ414" s="25"/>
      <c r="AK414" s="25"/>
      <c r="AL414" s="25">
        <f t="shared" si="240"/>
        <v>0</v>
      </c>
      <c r="AM414" s="25">
        <f t="shared" si="240"/>
        <v>0</v>
      </c>
    </row>
    <row r="415" spans="1:39" ht="14.25" customHeight="1">
      <c r="A415" s="29">
        <v>4404</v>
      </c>
      <c r="C415" s="1" t="s">
        <v>581</v>
      </c>
      <c r="D415" s="25"/>
      <c r="E415" s="25"/>
      <c r="F415" s="25"/>
      <c r="G415" s="25"/>
      <c r="H415" s="25"/>
      <c r="I415" s="25"/>
      <c r="J415" s="25"/>
      <c r="K415" s="25"/>
      <c r="L415" s="25"/>
      <c r="M415" s="25">
        <v>18000000</v>
      </c>
      <c r="N415" s="25"/>
      <c r="O415" s="25">
        <v>18000000</v>
      </c>
      <c r="P415" s="25"/>
      <c r="Q415" s="20"/>
      <c r="R415" s="59">
        <f t="shared" si="237"/>
        <v>100</v>
      </c>
      <c r="S415" s="25">
        <f>4600000+400000</f>
        <v>5000000</v>
      </c>
      <c r="T415" s="25"/>
      <c r="U415" s="59">
        <f t="shared" si="238"/>
        <v>27.77777777777778</v>
      </c>
      <c r="V415" s="59">
        <f t="shared" si="239"/>
        <v>27.77777777777778</v>
      </c>
      <c r="W415" s="25">
        <v>0</v>
      </c>
      <c r="X415" s="25"/>
      <c r="Y415" s="25"/>
      <c r="Z415" s="25"/>
      <c r="AA415" s="25"/>
      <c r="AB415" s="25"/>
      <c r="AC415" s="25"/>
      <c r="AD415" s="25"/>
      <c r="AE415" s="25"/>
      <c r="AF415" s="25"/>
      <c r="AI415" s="25">
        <f>4600000+400000</f>
        <v>5000000</v>
      </c>
      <c r="AJ415" s="25">
        <f>4600000+400000</f>
        <v>5000000</v>
      </c>
      <c r="AK415" s="25">
        <f>4600000+400000</f>
        <v>5000000</v>
      </c>
      <c r="AL415" s="25">
        <f t="shared" si="240"/>
        <v>0</v>
      </c>
      <c r="AM415" s="25">
        <f t="shared" si="240"/>
        <v>0</v>
      </c>
    </row>
    <row r="416" spans="1:39" ht="12.75" hidden="1">
      <c r="A416" s="29">
        <v>4405</v>
      </c>
      <c r="C416" s="1" t="s">
        <v>582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 t="e">
        <f t="shared" si="238"/>
        <v>#DIV/0!</v>
      </c>
      <c r="V416" s="25" t="e">
        <f t="shared" si="239"/>
        <v>#DIV/0!</v>
      </c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I416" s="25"/>
      <c r="AJ416" s="25"/>
      <c r="AK416" s="25"/>
      <c r="AL416" s="25">
        <f t="shared" si="240"/>
        <v>0</v>
      </c>
      <c r="AM416" s="25">
        <f t="shared" si="240"/>
        <v>0</v>
      </c>
    </row>
    <row r="417" spans="1:39" ht="12.75" hidden="1">
      <c r="A417" s="29">
        <v>4406</v>
      </c>
      <c r="C417" s="1" t="s">
        <v>583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 t="e">
        <f t="shared" si="238"/>
        <v>#DIV/0!</v>
      </c>
      <c r="V417" s="25" t="e">
        <f t="shared" si="239"/>
        <v>#DIV/0!</v>
      </c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I417" s="25"/>
      <c r="AJ417" s="25"/>
      <c r="AK417" s="25"/>
      <c r="AL417" s="25">
        <f t="shared" si="240"/>
        <v>0</v>
      </c>
      <c r="AM417" s="25">
        <f t="shared" si="240"/>
        <v>0</v>
      </c>
    </row>
    <row r="418" spans="1:39" ht="6" customHeight="1">
      <c r="A418" s="29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I418" s="25"/>
      <c r="AJ418" s="25"/>
      <c r="AK418" s="25"/>
      <c r="AL418" s="25"/>
      <c r="AM418" s="25"/>
    </row>
    <row r="419" spans="1:39" s="35" customFormat="1" ht="12.75">
      <c r="A419" s="34">
        <v>441</v>
      </c>
      <c r="C419" s="35" t="s">
        <v>584</v>
      </c>
      <c r="D419" s="36">
        <f aca="true" t="shared" si="241" ref="D419:K419">SUM(D420:D424)</f>
        <v>0</v>
      </c>
      <c r="E419" s="36">
        <f t="shared" si="241"/>
        <v>0</v>
      </c>
      <c r="F419" s="36">
        <f t="shared" si="241"/>
        <v>0</v>
      </c>
      <c r="G419" s="36">
        <f t="shared" si="241"/>
        <v>0</v>
      </c>
      <c r="H419" s="36">
        <f t="shared" si="241"/>
        <v>0</v>
      </c>
      <c r="I419" s="36">
        <f t="shared" si="241"/>
        <v>0</v>
      </c>
      <c r="J419" s="36">
        <f t="shared" si="241"/>
        <v>0</v>
      </c>
      <c r="K419" s="36">
        <f t="shared" si="241"/>
        <v>0</v>
      </c>
      <c r="L419" s="36"/>
      <c r="M419" s="36">
        <f>SUM(M420:M424)</f>
        <v>0</v>
      </c>
      <c r="N419" s="36"/>
      <c r="O419" s="36">
        <f>SUM(O420:O424)</f>
        <v>0</v>
      </c>
      <c r="P419" s="36"/>
      <c r="Q419" s="36"/>
      <c r="R419" s="36"/>
      <c r="S419" s="36">
        <f>SUM(S420:S424)</f>
        <v>0</v>
      </c>
      <c r="T419" s="36"/>
      <c r="U419" s="36"/>
      <c r="V419" s="36"/>
      <c r="W419" s="36">
        <f>SUM(W420:W424)</f>
        <v>0</v>
      </c>
      <c r="X419" s="36"/>
      <c r="Y419" s="36">
        <f>SUM(Y420:Y424)</f>
        <v>0</v>
      </c>
      <c r="Z419" s="36"/>
      <c r="AA419" s="36">
        <f>SUM(AA420:AA424)</f>
        <v>0</v>
      </c>
      <c r="AB419" s="36"/>
      <c r="AC419" s="36"/>
      <c r="AD419" s="36"/>
      <c r="AE419" s="36"/>
      <c r="AF419" s="36"/>
      <c r="AI419" s="36">
        <f>SUM(AI420:AI424)</f>
        <v>0</v>
      </c>
      <c r="AJ419" s="36">
        <f>SUM(AJ420:AJ424)</f>
        <v>0</v>
      </c>
      <c r="AK419" s="36">
        <f>SUM(AK420:AK424)</f>
        <v>0</v>
      </c>
      <c r="AL419" s="36">
        <f aca="true" t="shared" si="242" ref="AL419:AM424">AJ419-AI419</f>
        <v>0</v>
      </c>
      <c r="AM419" s="36">
        <f t="shared" si="242"/>
        <v>0</v>
      </c>
    </row>
    <row r="420" spans="1:39" ht="12.75" hidden="1">
      <c r="A420" s="29">
        <v>4410</v>
      </c>
      <c r="C420" s="1" t="s">
        <v>585</v>
      </c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I420" s="25"/>
      <c r="AJ420" s="25"/>
      <c r="AK420" s="25"/>
      <c r="AL420" s="25">
        <f t="shared" si="242"/>
        <v>0</v>
      </c>
      <c r="AM420" s="25">
        <f t="shared" si="242"/>
        <v>0</v>
      </c>
    </row>
    <row r="421" spans="1:39" ht="12.75" hidden="1">
      <c r="A421" s="29">
        <v>4411</v>
      </c>
      <c r="C421" s="1" t="s">
        <v>586</v>
      </c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I421" s="25"/>
      <c r="AJ421" s="25"/>
      <c r="AK421" s="25"/>
      <c r="AL421" s="25">
        <f t="shared" si="242"/>
        <v>0</v>
      </c>
      <c r="AM421" s="25">
        <f t="shared" si="242"/>
        <v>0</v>
      </c>
    </row>
    <row r="422" spans="1:39" ht="12.75" hidden="1">
      <c r="A422" s="29">
        <v>4412</v>
      </c>
      <c r="C422" s="1" t="s">
        <v>587</v>
      </c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I422" s="25"/>
      <c r="AJ422" s="25"/>
      <c r="AK422" s="25"/>
      <c r="AL422" s="25">
        <f t="shared" si="242"/>
        <v>0</v>
      </c>
      <c r="AM422" s="25">
        <f t="shared" si="242"/>
        <v>0</v>
      </c>
    </row>
    <row r="423" spans="1:39" ht="12.75" hidden="1">
      <c r="A423" s="29">
        <v>4413</v>
      </c>
      <c r="C423" s="1" t="s">
        <v>588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I423" s="25"/>
      <c r="AJ423" s="25"/>
      <c r="AK423" s="25"/>
      <c r="AL423" s="25">
        <f t="shared" si="242"/>
        <v>0</v>
      </c>
      <c r="AM423" s="25">
        <f t="shared" si="242"/>
        <v>0</v>
      </c>
    </row>
    <row r="424" spans="1:39" ht="12.75" hidden="1">
      <c r="A424" s="29">
        <v>4414</v>
      </c>
      <c r="C424" s="1" t="s">
        <v>589</v>
      </c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I424" s="25"/>
      <c r="AJ424" s="25"/>
      <c r="AK424" s="25"/>
      <c r="AL424" s="25">
        <f t="shared" si="242"/>
        <v>0</v>
      </c>
      <c r="AM424" s="25">
        <f t="shared" si="242"/>
        <v>0</v>
      </c>
    </row>
    <row r="425" spans="1:39" ht="5.25" customHeight="1">
      <c r="A425" s="29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I425" s="25"/>
      <c r="AJ425" s="25"/>
      <c r="AK425" s="25"/>
      <c r="AL425" s="25"/>
      <c r="AM425" s="25"/>
    </row>
    <row r="426" spans="1:39" s="27" customFormat="1" ht="15.75">
      <c r="A426" s="28"/>
      <c r="B426" s="17" t="s">
        <v>590</v>
      </c>
      <c r="C426" s="60" t="s">
        <v>591</v>
      </c>
      <c r="D426" s="19">
        <f aca="true" t="shared" si="243" ref="D426:K426">D394-D407</f>
        <v>13000000</v>
      </c>
      <c r="E426" s="19">
        <f t="shared" si="243"/>
        <v>0</v>
      </c>
      <c r="F426" s="19">
        <f t="shared" si="243"/>
        <v>14000000</v>
      </c>
      <c r="G426" s="19">
        <f t="shared" si="243"/>
        <v>16000000</v>
      </c>
      <c r="H426" s="19">
        <f t="shared" si="243"/>
        <v>6000000</v>
      </c>
      <c r="I426" s="19">
        <f t="shared" si="243"/>
        <v>23636000</v>
      </c>
      <c r="J426" s="19">
        <f t="shared" si="243"/>
        <v>32163959.49</v>
      </c>
      <c r="K426" s="19">
        <f t="shared" si="243"/>
        <v>0</v>
      </c>
      <c r="L426" s="20">
        <f>K426/J426*100</f>
        <v>0</v>
      </c>
      <c r="M426" s="19">
        <f>M394-M407</f>
        <v>-18000000</v>
      </c>
      <c r="N426" s="19"/>
      <c r="O426" s="19">
        <f>O394-O407</f>
        <v>-18000000</v>
      </c>
      <c r="P426" s="19"/>
      <c r="Q426" s="20">
        <f>O426/J426*100</f>
        <v>-55.96325914288111</v>
      </c>
      <c r="R426" s="20">
        <f>O426/M426*100</f>
        <v>100</v>
      </c>
      <c r="S426" s="19">
        <f>S394-S407</f>
        <v>-5000000</v>
      </c>
      <c r="T426" s="19"/>
      <c r="U426" s="20">
        <f>S426/M426*100</f>
        <v>27.77777777777778</v>
      </c>
      <c r="V426" s="20">
        <f>S426/O426*100</f>
        <v>27.77777777777778</v>
      </c>
      <c r="W426" s="19">
        <f>W394-W407</f>
        <v>0</v>
      </c>
      <c r="X426" s="20">
        <f>W426/S426*100</f>
        <v>0</v>
      </c>
      <c r="Y426" s="19">
        <f>Y394-Y407</f>
        <v>0</v>
      </c>
      <c r="Z426" s="20"/>
      <c r="AA426" s="19">
        <f>AA394-AA407</f>
        <v>0</v>
      </c>
      <c r="AB426" s="20"/>
      <c r="AC426" s="19"/>
      <c r="AD426" s="19"/>
      <c r="AE426" s="19"/>
      <c r="AF426" s="19"/>
      <c r="AI426" s="19">
        <f>AI394-AI407</f>
        <v>-5000000</v>
      </c>
      <c r="AJ426" s="19">
        <f>AJ394-AJ407</f>
        <v>-5000000</v>
      </c>
      <c r="AK426" s="19">
        <f>AK394-AK407</f>
        <v>-5000000</v>
      </c>
      <c r="AL426" s="19">
        <f>AJ426-AI426</f>
        <v>0</v>
      </c>
      <c r="AM426" s="19">
        <f>AK426-AJ426</f>
        <v>0</v>
      </c>
    </row>
    <row r="427" spans="1:39" s="27" customFormat="1" ht="15.75">
      <c r="A427" s="28"/>
      <c r="C427" s="68" t="s">
        <v>592</v>
      </c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I427" s="19"/>
      <c r="AJ427" s="19"/>
      <c r="AK427" s="19"/>
      <c r="AL427" s="19"/>
      <c r="AM427" s="19"/>
    </row>
    <row r="428" spans="1:39" s="27" customFormat="1" ht="15.75">
      <c r="A428" s="28"/>
      <c r="C428" s="62" t="s">
        <v>593</v>
      </c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I428" s="19"/>
      <c r="AJ428" s="19"/>
      <c r="AK428" s="19"/>
      <c r="AL428" s="19"/>
      <c r="AM428" s="19"/>
    </row>
    <row r="429" spans="1:39" ht="5.25" customHeight="1">
      <c r="A429" s="29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I429" s="25"/>
      <c r="AJ429" s="25"/>
      <c r="AK429" s="25"/>
      <c r="AL429" s="25"/>
      <c r="AM429" s="25"/>
    </row>
    <row r="430" spans="1:39" s="27" customFormat="1" ht="15.75">
      <c r="A430" s="28"/>
      <c r="B430" s="17" t="s">
        <v>594</v>
      </c>
      <c r="C430" s="60" t="s">
        <v>595</v>
      </c>
      <c r="D430" s="19">
        <f aca="true" t="shared" si="244" ref="D430:K430">(D9+D394)-(D285+D407)</f>
        <v>-2268598000</v>
      </c>
      <c r="E430" s="19">
        <f t="shared" si="244"/>
        <v>1676165526.4799995</v>
      </c>
      <c r="F430" s="19">
        <f t="shared" si="244"/>
        <v>-2328314000</v>
      </c>
      <c r="G430" s="19">
        <f t="shared" si="244"/>
        <v>1653842402.6099987</v>
      </c>
      <c r="H430" s="19">
        <f t="shared" si="244"/>
        <v>-2620876066</v>
      </c>
      <c r="I430" s="19">
        <f t="shared" si="244"/>
        <v>-2513076066</v>
      </c>
      <c r="J430" s="19">
        <f t="shared" si="244"/>
        <v>289642341.30999947</v>
      </c>
      <c r="K430" s="19">
        <f t="shared" si="244"/>
        <v>-2385030000</v>
      </c>
      <c r="L430" s="20">
        <f>K430/J430*100</f>
        <v>-823.4396909004893</v>
      </c>
      <c r="M430" s="19">
        <f>(M9+M394)-(M285+M407)</f>
        <v>-2796428125</v>
      </c>
      <c r="N430" s="19"/>
      <c r="O430" s="19">
        <f>(O9+O394)-(O285+O407)</f>
        <v>-1026385690</v>
      </c>
      <c r="P430" s="19"/>
      <c r="Q430" s="20">
        <f>O430/J430*100</f>
        <v>-354.3631381233299</v>
      </c>
      <c r="R430" s="20">
        <f>O430/M430*100</f>
        <v>36.70345326683481</v>
      </c>
      <c r="S430" s="19">
        <f>(S9+S394)-(S285+S407)</f>
        <v>-1761542435</v>
      </c>
      <c r="T430" s="19"/>
      <c r="U430" s="20">
        <f>S430/M430*100</f>
        <v>62.99258755309508</v>
      </c>
      <c r="V430" s="20">
        <f>S430/O430*100</f>
        <v>171.6257789018863</v>
      </c>
      <c r="W430" s="19">
        <f>(W9+W394)-(W285+W407)</f>
        <v>-1059438951</v>
      </c>
      <c r="X430" s="20">
        <f>W430/S430*100</f>
        <v>60.14268688338468</v>
      </c>
      <c r="Y430" s="19">
        <f>(Y9+Y394)-(Y285+Y407)</f>
        <v>14272367000</v>
      </c>
      <c r="Z430" s="20"/>
      <c r="AA430" s="19">
        <f>(AA9+AA394)-(AA285+AA407)</f>
        <v>14831752000</v>
      </c>
      <c r="AB430" s="20"/>
      <c r="AC430" s="19"/>
      <c r="AD430" s="19"/>
      <c r="AE430" s="19"/>
      <c r="AF430" s="19"/>
      <c r="AI430" s="19">
        <f>(AI9+AI394)-(AI285+AI407)</f>
        <v>-1019462200</v>
      </c>
      <c r="AJ430" s="19">
        <f>(AJ9+AJ394)-(AJ285+AJ407)</f>
        <v>-381500000</v>
      </c>
      <c r="AK430" s="19">
        <f>(AK9+AK394)-(AK285+AK407)</f>
        <v>-1761542435</v>
      </c>
      <c r="AL430" s="19">
        <f>AJ430-AI430</f>
        <v>637962200</v>
      </c>
      <c r="AM430" s="19">
        <f>AK430-AJ430</f>
        <v>-1380042435</v>
      </c>
    </row>
    <row r="431" spans="1:39" s="27" customFormat="1" ht="15.75">
      <c r="A431" s="28"/>
      <c r="C431" s="62" t="s">
        <v>596</v>
      </c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I431" s="19"/>
      <c r="AJ431" s="19"/>
      <c r="AK431" s="19"/>
      <c r="AL431" s="19"/>
      <c r="AM431" s="19"/>
    </row>
    <row r="432" spans="1:39" ht="12.75">
      <c r="A432" s="29"/>
      <c r="C432" s="1" t="s">
        <v>597</v>
      </c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I432" s="25"/>
      <c r="AJ432" s="25"/>
      <c r="AK432" s="25"/>
      <c r="AL432" s="25"/>
      <c r="AM432" s="25"/>
    </row>
    <row r="433" spans="1:39" ht="12.75">
      <c r="A433" s="29"/>
      <c r="C433" s="1" t="s">
        <v>598</v>
      </c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I433" s="25"/>
      <c r="AJ433" s="25"/>
      <c r="AK433" s="25"/>
      <c r="AL433" s="25"/>
      <c r="AM433" s="25"/>
    </row>
    <row r="434" spans="1:39" ht="12.75">
      <c r="A434" s="29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I434" s="25"/>
      <c r="AJ434" s="25"/>
      <c r="AK434" s="25"/>
      <c r="AL434" s="25"/>
      <c r="AM434" s="25"/>
    </row>
    <row r="435" spans="1:39" s="5" customFormat="1" ht="18">
      <c r="A435" s="64" t="s">
        <v>599</v>
      </c>
      <c r="B435" s="5" t="s">
        <v>600</v>
      </c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I435" s="69"/>
      <c r="AJ435" s="69"/>
      <c r="AK435" s="69"/>
      <c r="AL435" s="69"/>
      <c r="AM435" s="69"/>
    </row>
    <row r="436" spans="1:39" ht="12.75">
      <c r="A436" s="65"/>
      <c r="B436" s="9"/>
      <c r="C436" s="9"/>
      <c r="D436" s="66"/>
      <c r="E436" s="66"/>
      <c r="F436" s="66"/>
      <c r="G436" s="66"/>
      <c r="H436" s="66"/>
      <c r="I436" s="66"/>
      <c r="J436" s="66"/>
      <c r="K436" s="66"/>
      <c r="L436" s="10"/>
      <c r="M436" s="66"/>
      <c r="N436" s="66"/>
      <c r="O436" s="66"/>
      <c r="P436" s="66"/>
      <c r="Q436" s="10"/>
      <c r="R436" s="10"/>
      <c r="S436" s="66"/>
      <c r="T436" s="66"/>
      <c r="U436" s="10"/>
      <c r="V436" s="10"/>
      <c r="W436" s="66"/>
      <c r="X436" s="10"/>
      <c r="Y436" s="66"/>
      <c r="Z436" s="10"/>
      <c r="AA436" s="66"/>
      <c r="AB436" s="10"/>
      <c r="AC436" s="66"/>
      <c r="AD436" s="66"/>
      <c r="AE436" s="66"/>
      <c r="AF436" s="66"/>
      <c r="AI436" s="66"/>
      <c r="AJ436" s="66"/>
      <c r="AK436" s="66"/>
      <c r="AL436" s="9"/>
      <c r="AM436" s="9"/>
    </row>
    <row r="437" spans="1:39" ht="12.75">
      <c r="A437" s="11" t="s">
        <v>22</v>
      </c>
      <c r="B437" s="12"/>
      <c r="C437" s="12" t="s">
        <v>23</v>
      </c>
      <c r="D437" s="12" t="s">
        <v>24</v>
      </c>
      <c r="E437" s="12" t="s">
        <v>25</v>
      </c>
      <c r="F437" s="12" t="s">
        <v>24</v>
      </c>
      <c r="G437" s="12" t="s">
        <v>25</v>
      </c>
      <c r="H437" s="12" t="s">
        <v>26</v>
      </c>
      <c r="I437" s="12" t="s">
        <v>27</v>
      </c>
      <c r="J437" s="12" t="s">
        <v>25</v>
      </c>
      <c r="K437" s="12" t="s">
        <v>26</v>
      </c>
      <c r="L437" s="12" t="s">
        <v>28</v>
      </c>
      <c r="M437" s="12" t="s">
        <v>29</v>
      </c>
      <c r="N437" s="12" t="s">
        <v>30</v>
      </c>
      <c r="O437" s="12" t="s">
        <v>31</v>
      </c>
      <c r="P437" s="12" t="s">
        <v>30</v>
      </c>
      <c r="Q437" s="12" t="s">
        <v>28</v>
      </c>
      <c r="R437" s="12" t="s">
        <v>28</v>
      </c>
      <c r="S437" s="12" t="s">
        <v>26</v>
      </c>
      <c r="T437" s="12" t="s">
        <v>30</v>
      </c>
      <c r="U437" s="12" t="s">
        <v>28</v>
      </c>
      <c r="V437" s="12" t="s">
        <v>28</v>
      </c>
      <c r="W437" s="12" t="s">
        <v>26</v>
      </c>
      <c r="X437" s="12" t="s">
        <v>28</v>
      </c>
      <c r="Y437" s="12" t="s">
        <v>26</v>
      </c>
      <c r="Z437" s="12" t="s">
        <v>28</v>
      </c>
      <c r="AA437" s="12" t="s">
        <v>26</v>
      </c>
      <c r="AB437" s="12" t="s">
        <v>28</v>
      </c>
      <c r="AC437" s="12"/>
      <c r="AD437" s="12"/>
      <c r="AE437" s="12"/>
      <c r="AF437" s="12"/>
      <c r="AI437" s="12" t="s">
        <v>32</v>
      </c>
      <c r="AJ437" s="12" t="s">
        <v>32</v>
      </c>
      <c r="AK437" s="12" t="s">
        <v>32</v>
      </c>
      <c r="AL437" s="12" t="s">
        <v>33</v>
      </c>
      <c r="AM437" s="12" t="s">
        <v>33</v>
      </c>
    </row>
    <row r="438" spans="1:39" ht="12.75">
      <c r="A438" s="11" t="s">
        <v>34</v>
      </c>
      <c r="B438" s="12"/>
      <c r="C438" s="12"/>
      <c r="D438" s="12">
        <v>1997</v>
      </c>
      <c r="E438" s="12">
        <v>1997</v>
      </c>
      <c r="F438" s="12">
        <v>1998</v>
      </c>
      <c r="G438" s="12">
        <v>1998</v>
      </c>
      <c r="H438" s="12">
        <v>1999</v>
      </c>
      <c r="I438" s="12">
        <v>1999</v>
      </c>
      <c r="J438" s="12">
        <v>1999</v>
      </c>
      <c r="K438" s="12">
        <v>2000</v>
      </c>
      <c r="L438" s="12" t="s">
        <v>35</v>
      </c>
      <c r="M438" s="12">
        <v>2000</v>
      </c>
      <c r="N438" s="12" t="s">
        <v>36</v>
      </c>
      <c r="O438" s="12">
        <v>2000</v>
      </c>
      <c r="P438" s="12" t="s">
        <v>37</v>
      </c>
      <c r="Q438" s="12" t="s">
        <v>38</v>
      </c>
      <c r="R438" s="12" t="s">
        <v>39</v>
      </c>
      <c r="S438" s="12">
        <v>2001</v>
      </c>
      <c r="T438" s="12" t="s">
        <v>40</v>
      </c>
      <c r="U438" s="12" t="s">
        <v>41</v>
      </c>
      <c r="V438" s="12" t="s">
        <v>39</v>
      </c>
      <c r="W438" s="12">
        <v>2002</v>
      </c>
      <c r="X438" s="12" t="s">
        <v>42</v>
      </c>
      <c r="Y438" s="12">
        <v>2003</v>
      </c>
      <c r="Z438" s="12" t="s">
        <v>43</v>
      </c>
      <c r="AA438" s="12">
        <v>2004</v>
      </c>
      <c r="AB438" s="12" t="s">
        <v>44</v>
      </c>
      <c r="AC438" s="12"/>
      <c r="AD438" s="12"/>
      <c r="AE438" s="12"/>
      <c r="AF438" s="12"/>
      <c r="AI438" s="13">
        <v>36829</v>
      </c>
      <c r="AJ438" s="13" t="s">
        <v>45</v>
      </c>
      <c r="AK438" s="12" t="s">
        <v>46</v>
      </c>
      <c r="AL438" s="14" t="s">
        <v>47</v>
      </c>
      <c r="AM438" s="14" t="s">
        <v>47</v>
      </c>
    </row>
    <row r="439" spans="1:39" ht="13.5" thickBot="1">
      <c r="A439" s="15">
        <v>1</v>
      </c>
      <c r="B439" s="15"/>
      <c r="C439" s="15">
        <v>2</v>
      </c>
      <c r="D439" s="15">
        <v>3</v>
      </c>
      <c r="E439" s="15">
        <v>3</v>
      </c>
      <c r="F439" s="15">
        <v>4</v>
      </c>
      <c r="G439" s="15">
        <v>3</v>
      </c>
      <c r="H439" s="15">
        <v>3</v>
      </c>
      <c r="I439" s="15">
        <v>3</v>
      </c>
      <c r="J439" s="15">
        <v>3</v>
      </c>
      <c r="K439" s="15">
        <v>4</v>
      </c>
      <c r="L439" s="15">
        <v>5</v>
      </c>
      <c r="M439" s="15">
        <v>5</v>
      </c>
      <c r="N439" s="15"/>
      <c r="O439" s="15">
        <v>6</v>
      </c>
      <c r="P439" s="15"/>
      <c r="Q439" s="15">
        <v>8</v>
      </c>
      <c r="R439" s="15">
        <v>9</v>
      </c>
      <c r="S439" s="15">
        <v>7</v>
      </c>
      <c r="T439" s="15"/>
      <c r="U439" s="15">
        <v>8</v>
      </c>
      <c r="V439" s="15">
        <v>9</v>
      </c>
      <c r="W439" s="15">
        <v>10</v>
      </c>
      <c r="X439" s="15">
        <v>11</v>
      </c>
      <c r="Y439" s="15">
        <v>13</v>
      </c>
      <c r="Z439" s="15">
        <v>14</v>
      </c>
      <c r="AA439" s="15">
        <v>15</v>
      </c>
      <c r="AB439" s="15">
        <v>16</v>
      </c>
      <c r="AC439" s="15"/>
      <c r="AD439" s="15"/>
      <c r="AE439" s="15"/>
      <c r="AF439" s="15"/>
      <c r="AI439" s="15">
        <v>3</v>
      </c>
      <c r="AJ439" s="15">
        <v>3</v>
      </c>
      <c r="AK439" s="15">
        <v>4</v>
      </c>
      <c r="AL439" s="15">
        <v>5</v>
      </c>
      <c r="AM439" s="15">
        <v>5</v>
      </c>
    </row>
    <row r="440" spans="1:39" ht="6" customHeight="1" thickTop="1">
      <c r="A440" s="29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I440" s="25"/>
      <c r="AJ440" s="25"/>
      <c r="AK440" s="25"/>
      <c r="AL440" s="25"/>
      <c r="AM440" s="25"/>
    </row>
    <row r="441" spans="1:39" s="27" customFormat="1" ht="15.75">
      <c r="A441" s="70">
        <v>50</v>
      </c>
      <c r="B441" s="17" t="s">
        <v>601</v>
      </c>
      <c r="C441" s="18" t="s">
        <v>602</v>
      </c>
      <c r="D441" s="19">
        <f aca="true" t="shared" si="245" ref="D441:K441">D443</f>
        <v>0</v>
      </c>
      <c r="E441" s="19">
        <f t="shared" si="245"/>
        <v>0</v>
      </c>
      <c r="F441" s="19">
        <f t="shared" si="245"/>
        <v>30000000</v>
      </c>
      <c r="G441" s="19">
        <f t="shared" si="245"/>
        <v>0</v>
      </c>
      <c r="H441" s="19">
        <f t="shared" si="245"/>
        <v>0</v>
      </c>
      <c r="I441" s="19">
        <f t="shared" si="245"/>
        <v>0</v>
      </c>
      <c r="J441" s="19">
        <f t="shared" si="245"/>
        <v>0</v>
      </c>
      <c r="K441" s="19">
        <f t="shared" si="245"/>
        <v>0</v>
      </c>
      <c r="L441" s="20"/>
      <c r="M441" s="19">
        <f>M443</f>
        <v>0</v>
      </c>
      <c r="N441" s="19"/>
      <c r="O441" s="19">
        <f>O443</f>
        <v>0</v>
      </c>
      <c r="P441" s="19"/>
      <c r="Q441" s="20"/>
      <c r="R441" s="20"/>
      <c r="S441" s="19">
        <f>S443</f>
        <v>0</v>
      </c>
      <c r="T441" s="19"/>
      <c r="U441" s="20"/>
      <c r="V441" s="20"/>
      <c r="W441" s="19">
        <f>W443</f>
        <v>0</v>
      </c>
      <c r="X441" s="20"/>
      <c r="Y441" s="19">
        <f>Y443</f>
        <v>0</v>
      </c>
      <c r="Z441" s="20"/>
      <c r="AA441" s="19">
        <f>AA443</f>
        <v>0</v>
      </c>
      <c r="AB441" s="20"/>
      <c r="AC441" s="19"/>
      <c r="AD441" s="19"/>
      <c r="AE441" s="19"/>
      <c r="AF441" s="19"/>
      <c r="AI441" s="19">
        <f>AI443</f>
        <v>0</v>
      </c>
      <c r="AJ441" s="19">
        <f>AJ443</f>
        <v>0</v>
      </c>
      <c r="AK441" s="19">
        <f>AK443</f>
        <v>0</v>
      </c>
      <c r="AL441" s="19">
        <f>AJ441-AI441</f>
        <v>0</v>
      </c>
      <c r="AM441" s="19">
        <f>AK441-AJ441</f>
        <v>0</v>
      </c>
    </row>
    <row r="442" spans="1:39" ht="6" customHeight="1">
      <c r="A442" s="29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I442" s="25"/>
      <c r="AJ442" s="25"/>
      <c r="AK442" s="25"/>
      <c r="AL442" s="25"/>
      <c r="AM442" s="25"/>
    </row>
    <row r="443" spans="1:39" s="35" customFormat="1" ht="12.75">
      <c r="A443" s="34">
        <v>500</v>
      </c>
      <c r="C443" s="35" t="s">
        <v>603</v>
      </c>
      <c r="D443" s="36">
        <f aca="true" t="shared" si="246" ref="D443:K443">D444</f>
        <v>0</v>
      </c>
      <c r="E443" s="36">
        <f t="shared" si="246"/>
        <v>0</v>
      </c>
      <c r="F443" s="36">
        <f t="shared" si="246"/>
        <v>30000000</v>
      </c>
      <c r="G443" s="36">
        <f t="shared" si="246"/>
        <v>0</v>
      </c>
      <c r="H443" s="36">
        <f t="shared" si="246"/>
        <v>0</v>
      </c>
      <c r="I443" s="36">
        <f t="shared" si="246"/>
        <v>0</v>
      </c>
      <c r="J443" s="36">
        <f t="shared" si="246"/>
        <v>0</v>
      </c>
      <c r="K443" s="36">
        <f t="shared" si="246"/>
        <v>0</v>
      </c>
      <c r="L443" s="36"/>
      <c r="M443" s="36">
        <f>M444</f>
        <v>0</v>
      </c>
      <c r="N443" s="36"/>
      <c r="O443" s="36">
        <f>O444</f>
        <v>0</v>
      </c>
      <c r="P443" s="36"/>
      <c r="Q443" s="36"/>
      <c r="R443" s="36"/>
      <c r="S443" s="36">
        <f>S444</f>
        <v>0</v>
      </c>
      <c r="T443" s="36"/>
      <c r="U443" s="36"/>
      <c r="V443" s="36"/>
      <c r="W443" s="36">
        <f>W444</f>
        <v>0</v>
      </c>
      <c r="X443" s="36"/>
      <c r="Y443" s="36">
        <f>Y444</f>
        <v>0</v>
      </c>
      <c r="Z443" s="36"/>
      <c r="AA443" s="36">
        <f>AA444</f>
        <v>0</v>
      </c>
      <c r="AB443" s="36"/>
      <c r="AC443" s="36"/>
      <c r="AD443" s="36"/>
      <c r="AE443" s="36"/>
      <c r="AF443" s="36"/>
      <c r="AI443" s="36">
        <f>AI444</f>
        <v>0</v>
      </c>
      <c r="AJ443" s="36">
        <f>AJ444</f>
        <v>0</v>
      </c>
      <c r="AK443" s="36">
        <f>AK444</f>
        <v>0</v>
      </c>
      <c r="AL443" s="36">
        <f>AJ443-AI443</f>
        <v>0</v>
      </c>
      <c r="AM443" s="36">
        <f>AK443-AJ443</f>
        <v>0</v>
      </c>
    </row>
    <row r="444" spans="1:39" ht="12.75">
      <c r="A444" s="29">
        <v>5001</v>
      </c>
      <c r="C444" s="1" t="s">
        <v>604</v>
      </c>
      <c r="D444" s="25"/>
      <c r="E444" s="25"/>
      <c r="F444" s="25">
        <v>30000000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I444" s="25"/>
      <c r="AJ444" s="25"/>
      <c r="AK444" s="25"/>
      <c r="AL444" s="25"/>
      <c r="AM444" s="25"/>
    </row>
    <row r="445" spans="1:39" ht="6" customHeight="1">
      <c r="A445" s="29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I445" s="25"/>
      <c r="AJ445" s="25"/>
      <c r="AK445" s="25"/>
      <c r="AL445" s="25"/>
      <c r="AM445" s="25"/>
    </row>
    <row r="446" spans="1:39" s="27" customFormat="1" ht="15.75">
      <c r="A446" s="28">
        <v>55</v>
      </c>
      <c r="B446" s="17" t="s">
        <v>605</v>
      </c>
      <c r="C446" s="18" t="s">
        <v>606</v>
      </c>
      <c r="D446" s="19">
        <f aca="true" t="shared" si="247" ref="D446:K446">D448</f>
        <v>171600000</v>
      </c>
      <c r="E446" s="19">
        <f t="shared" si="247"/>
        <v>160919768</v>
      </c>
      <c r="F446" s="19">
        <f t="shared" si="247"/>
        <v>204250000</v>
      </c>
      <c r="G446" s="19">
        <f t="shared" si="247"/>
        <v>203326154</v>
      </c>
      <c r="H446" s="19">
        <f t="shared" si="247"/>
        <v>13500000</v>
      </c>
      <c r="I446" s="19">
        <f t="shared" si="247"/>
        <v>13500000</v>
      </c>
      <c r="J446" s="19">
        <f t="shared" si="247"/>
        <v>13090282.75</v>
      </c>
      <c r="K446" s="19">
        <f t="shared" si="247"/>
        <v>83780000</v>
      </c>
      <c r="L446" s="20">
        <f>K446/J446*100</f>
        <v>640.0167330228219</v>
      </c>
      <c r="M446" s="19">
        <f>M448</f>
        <v>11200000</v>
      </c>
      <c r="N446" s="19"/>
      <c r="O446" s="19">
        <f>O448</f>
        <v>11200000</v>
      </c>
      <c r="P446" s="19"/>
      <c r="Q446" s="20">
        <f>O446/J446*100</f>
        <v>85.55964919856297</v>
      </c>
      <c r="R446" s="20">
        <f>O446/M446*100</f>
        <v>100</v>
      </c>
      <c r="S446" s="19">
        <f>S448</f>
        <v>8500000</v>
      </c>
      <c r="T446" s="19"/>
      <c r="U446" s="20">
        <f>S446/M446*100</f>
        <v>75.89285714285714</v>
      </c>
      <c r="V446" s="20">
        <f>S446/O446*100</f>
        <v>75.89285714285714</v>
      </c>
      <c r="W446" s="19">
        <f>W448</f>
        <v>8500000</v>
      </c>
      <c r="X446" s="20">
        <f>W446/S446*100</f>
        <v>100</v>
      </c>
      <c r="Y446" s="19">
        <f>Y448</f>
        <v>8500000</v>
      </c>
      <c r="Z446" s="20"/>
      <c r="AA446" s="19">
        <f>AA448</f>
        <v>8500000</v>
      </c>
      <c r="AB446" s="20"/>
      <c r="AC446" s="19"/>
      <c r="AD446" s="19"/>
      <c r="AE446" s="19"/>
      <c r="AF446" s="19"/>
      <c r="AI446" s="19">
        <f>AI448</f>
        <v>8500000</v>
      </c>
      <c r="AJ446" s="19">
        <f>AJ448</f>
        <v>8500000</v>
      </c>
      <c r="AK446" s="19">
        <f>AK448</f>
        <v>8500000</v>
      </c>
      <c r="AL446" s="19">
        <f>AJ446-AI446</f>
        <v>0</v>
      </c>
      <c r="AM446" s="19">
        <f>AK446-AJ446</f>
        <v>0</v>
      </c>
    </row>
    <row r="447" spans="1:39" ht="6" customHeight="1">
      <c r="A447" s="29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I447" s="25"/>
      <c r="AJ447" s="25"/>
      <c r="AK447" s="25"/>
      <c r="AL447" s="25"/>
      <c r="AM447" s="25"/>
    </row>
    <row r="448" spans="1:39" s="35" customFormat="1" ht="12.75">
      <c r="A448" s="34">
        <v>550</v>
      </c>
      <c r="C448" s="35" t="s">
        <v>607</v>
      </c>
      <c r="D448" s="36">
        <f>D449</f>
        <v>171600000</v>
      </c>
      <c r="E448" s="36">
        <f>E449</f>
        <v>160919768</v>
      </c>
      <c r="F448" s="36">
        <f>F449</f>
        <v>204250000</v>
      </c>
      <c r="G448" s="36">
        <f>G449</f>
        <v>203326154</v>
      </c>
      <c r="H448" s="36">
        <f>H449</f>
        <v>13500000</v>
      </c>
      <c r="I448" s="36">
        <f>SUM(I449:I450)</f>
        <v>13500000</v>
      </c>
      <c r="J448" s="36">
        <f>SUM(J449:J450)</f>
        <v>13090282.75</v>
      </c>
      <c r="K448" s="36">
        <f>SUM(K449:K450)</f>
        <v>83780000</v>
      </c>
      <c r="L448" s="37">
        <f>K448/J448*100</f>
        <v>640.0167330228219</v>
      </c>
      <c r="M448" s="36">
        <f>SUM(M449:M450)</f>
        <v>11200000</v>
      </c>
      <c r="N448" s="36"/>
      <c r="O448" s="36">
        <f>SUM(O449:O450)</f>
        <v>11200000</v>
      </c>
      <c r="P448" s="36"/>
      <c r="Q448" s="37">
        <f>O448/J448*100</f>
        <v>85.55964919856297</v>
      </c>
      <c r="R448" s="37">
        <f>O448/M448*100</f>
        <v>100</v>
      </c>
      <c r="S448" s="36">
        <f>SUM(S449:S450)</f>
        <v>8500000</v>
      </c>
      <c r="T448" s="36"/>
      <c r="U448" s="37">
        <f>S448/M448*100</f>
        <v>75.89285714285714</v>
      </c>
      <c r="V448" s="37">
        <f>S448/O448*100</f>
        <v>75.89285714285714</v>
      </c>
      <c r="W448" s="36">
        <f>SUM(W449:W450)</f>
        <v>8500000</v>
      </c>
      <c r="X448" s="37">
        <f>W448/S448*100</f>
        <v>100</v>
      </c>
      <c r="Y448" s="36">
        <f>SUM(Y449:Y450)</f>
        <v>8500000</v>
      </c>
      <c r="Z448" s="37"/>
      <c r="AA448" s="36">
        <f>SUM(AA449:AA450)</f>
        <v>8500000</v>
      </c>
      <c r="AB448" s="37"/>
      <c r="AC448" s="36"/>
      <c r="AD448" s="36"/>
      <c r="AE448" s="36"/>
      <c r="AF448" s="36"/>
      <c r="AI448" s="36">
        <f>SUM(AI449:AI450)</f>
        <v>8500000</v>
      </c>
      <c r="AJ448" s="36">
        <f>SUM(AJ449:AJ450)</f>
        <v>8500000</v>
      </c>
      <c r="AK448" s="36">
        <f>SUM(AK449:AK450)</f>
        <v>8500000</v>
      </c>
      <c r="AL448" s="36">
        <f aca="true" t="shared" si="248" ref="AL448:AM450">AJ448-AI448</f>
        <v>0</v>
      </c>
      <c r="AM448" s="36">
        <f t="shared" si="248"/>
        <v>0</v>
      </c>
    </row>
    <row r="449" spans="1:39" ht="12.75">
      <c r="A449" s="71">
        <v>5501</v>
      </c>
      <c r="C449" s="1" t="s">
        <v>608</v>
      </c>
      <c r="D449" s="25">
        <v>171600000</v>
      </c>
      <c r="E449" s="25">
        <v>160919768</v>
      </c>
      <c r="F449" s="25">
        <v>204250000</v>
      </c>
      <c r="G449" s="25">
        <v>203326154</v>
      </c>
      <c r="H449" s="25">
        <v>13500000</v>
      </c>
      <c r="I449" s="25">
        <v>13500000</v>
      </c>
      <c r="J449" s="25">
        <v>13090282.75</v>
      </c>
      <c r="K449" s="25">
        <v>11200000</v>
      </c>
      <c r="L449" s="59">
        <f>K449/J449*100</f>
        <v>85.55964919856297</v>
      </c>
      <c r="M449" s="25">
        <v>11200000</v>
      </c>
      <c r="N449" s="25"/>
      <c r="O449" s="25">
        <v>11200000</v>
      </c>
      <c r="P449" s="25"/>
      <c r="Q449" s="59">
        <f>O449/J449*100</f>
        <v>85.55964919856297</v>
      </c>
      <c r="R449" s="59">
        <f>O449/M449*100</f>
        <v>100</v>
      </c>
      <c r="S449" s="25">
        <v>8500000</v>
      </c>
      <c r="T449" s="25"/>
      <c r="U449" s="59">
        <f>S449/M449*100</f>
        <v>75.89285714285714</v>
      </c>
      <c r="V449" s="59">
        <f>S449/O449*100</f>
        <v>75.89285714285714</v>
      </c>
      <c r="W449" s="25">
        <v>8500000</v>
      </c>
      <c r="X449" s="59">
        <f>W449/S449*100</f>
        <v>100</v>
      </c>
      <c r="Y449" s="25">
        <v>8500000</v>
      </c>
      <c r="Z449" s="59"/>
      <c r="AA449" s="25">
        <v>8500000</v>
      </c>
      <c r="AB449" s="59"/>
      <c r="AC449" s="25"/>
      <c r="AD449" s="25"/>
      <c r="AE449" s="25"/>
      <c r="AF449" s="25"/>
      <c r="AI449" s="25">
        <v>8500000</v>
      </c>
      <c r="AJ449" s="25">
        <v>8500000</v>
      </c>
      <c r="AK449" s="25">
        <v>8500000</v>
      </c>
      <c r="AL449" s="25">
        <f t="shared" si="248"/>
        <v>0</v>
      </c>
      <c r="AM449" s="25">
        <f t="shared" si="248"/>
        <v>0</v>
      </c>
    </row>
    <row r="450" spans="1:39" ht="12.75" hidden="1">
      <c r="A450" s="71">
        <v>5503</v>
      </c>
      <c r="C450" s="1" t="s">
        <v>609</v>
      </c>
      <c r="D450" s="25"/>
      <c r="E450" s="25"/>
      <c r="F450" s="25"/>
      <c r="G450" s="25"/>
      <c r="H450" s="25"/>
      <c r="I450" s="25"/>
      <c r="J450" s="25"/>
      <c r="K450" s="25">
        <v>72580000</v>
      </c>
      <c r="L450" s="59"/>
      <c r="M450" s="25"/>
      <c r="N450" s="25"/>
      <c r="O450" s="25"/>
      <c r="P450" s="25"/>
      <c r="Q450" s="59"/>
      <c r="R450" s="59"/>
      <c r="S450" s="25"/>
      <c r="T450" s="25"/>
      <c r="U450" s="59"/>
      <c r="V450" s="59"/>
      <c r="W450" s="25"/>
      <c r="X450" s="59"/>
      <c r="Y450" s="25"/>
      <c r="Z450" s="59"/>
      <c r="AA450" s="25"/>
      <c r="AB450" s="59"/>
      <c r="AC450" s="25"/>
      <c r="AD450" s="25"/>
      <c r="AE450" s="25"/>
      <c r="AF450" s="25"/>
      <c r="AI450" s="25"/>
      <c r="AJ450" s="25"/>
      <c r="AK450" s="25"/>
      <c r="AL450" s="25">
        <f t="shared" si="248"/>
        <v>0</v>
      </c>
      <c r="AM450" s="25">
        <f t="shared" si="248"/>
        <v>0</v>
      </c>
    </row>
    <row r="451" spans="1:39" ht="6" customHeight="1">
      <c r="A451" s="72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I451" s="25"/>
      <c r="AJ451" s="25"/>
      <c r="AK451" s="25"/>
      <c r="AL451" s="25"/>
      <c r="AM451" s="25"/>
    </row>
    <row r="452" spans="1:39" s="27" customFormat="1" ht="15.75">
      <c r="A452" s="73"/>
      <c r="B452" s="17" t="s">
        <v>610</v>
      </c>
      <c r="C452" s="18" t="s">
        <v>611</v>
      </c>
      <c r="D452" s="19">
        <f aca="true" t="shared" si="249" ref="D452:K452">D441-D446</f>
        <v>-171600000</v>
      </c>
      <c r="E452" s="19">
        <f t="shared" si="249"/>
        <v>-160919768</v>
      </c>
      <c r="F452" s="19">
        <f t="shared" si="249"/>
        <v>-174250000</v>
      </c>
      <c r="G452" s="19">
        <f t="shared" si="249"/>
        <v>-203326154</v>
      </c>
      <c r="H452" s="19">
        <f t="shared" si="249"/>
        <v>-13500000</v>
      </c>
      <c r="I452" s="19">
        <f t="shared" si="249"/>
        <v>-13500000</v>
      </c>
      <c r="J452" s="19">
        <f t="shared" si="249"/>
        <v>-13090282.75</v>
      </c>
      <c r="K452" s="19">
        <f t="shared" si="249"/>
        <v>-83780000</v>
      </c>
      <c r="L452" s="20">
        <f>K452/J452*100</f>
        <v>640.0167330228219</v>
      </c>
      <c r="M452" s="19">
        <f>M441-M446</f>
        <v>-11200000</v>
      </c>
      <c r="N452" s="19"/>
      <c r="O452" s="19">
        <f>O441-O446</f>
        <v>-11200000</v>
      </c>
      <c r="P452" s="19"/>
      <c r="Q452" s="20">
        <f>O452/J452*100</f>
        <v>85.55964919856297</v>
      </c>
      <c r="R452" s="20">
        <f>O452/M452*100</f>
        <v>100</v>
      </c>
      <c r="S452" s="19">
        <f>S441-S446</f>
        <v>-8500000</v>
      </c>
      <c r="T452" s="19"/>
      <c r="U452" s="20">
        <f>S452/M452*100</f>
        <v>75.89285714285714</v>
      </c>
      <c r="V452" s="20">
        <f>S452/O452*100</f>
        <v>75.89285714285714</v>
      </c>
      <c r="W452" s="19">
        <f>W441-W446</f>
        <v>-8500000</v>
      </c>
      <c r="X452" s="20">
        <f>W452/S452*100</f>
        <v>100</v>
      </c>
      <c r="Y452" s="19">
        <f>Y441-Y446</f>
        <v>-8500000</v>
      </c>
      <c r="Z452" s="20"/>
      <c r="AA452" s="19">
        <f>AA441-AA446</f>
        <v>-8500000</v>
      </c>
      <c r="AB452" s="20"/>
      <c r="AC452" s="19"/>
      <c r="AD452" s="19"/>
      <c r="AE452" s="19"/>
      <c r="AF452" s="19"/>
      <c r="AI452" s="19">
        <f>AI441-AI446</f>
        <v>-8500000</v>
      </c>
      <c r="AJ452" s="19">
        <f>AJ441-AJ446</f>
        <v>-8500000</v>
      </c>
      <c r="AK452" s="19">
        <f>AK441-AK446</f>
        <v>-8500000</v>
      </c>
      <c r="AL452" s="19">
        <f>AJ452-AI452</f>
        <v>0</v>
      </c>
      <c r="AM452" s="19">
        <f>AK452-AJ452</f>
        <v>0</v>
      </c>
    </row>
    <row r="453" spans="1:39" ht="5.25" customHeight="1">
      <c r="A453" s="72"/>
      <c r="B453" s="12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I453" s="25"/>
      <c r="AJ453" s="25"/>
      <c r="AK453" s="25"/>
      <c r="AL453" s="25"/>
      <c r="AM453" s="25"/>
    </row>
    <row r="454" spans="2:39" s="27" customFormat="1" ht="15.75">
      <c r="B454" s="17" t="s">
        <v>612</v>
      </c>
      <c r="C454" s="60" t="s">
        <v>613</v>
      </c>
      <c r="D454" s="19">
        <f aca="true" t="shared" si="250" ref="D454:K454">D430+D452</f>
        <v>-2440198000</v>
      </c>
      <c r="E454" s="19">
        <f t="shared" si="250"/>
        <v>1515245758.4799995</v>
      </c>
      <c r="F454" s="19">
        <f t="shared" si="250"/>
        <v>-2502564000</v>
      </c>
      <c r="G454" s="19">
        <f t="shared" si="250"/>
        <v>1450516248.6099987</v>
      </c>
      <c r="H454" s="19">
        <f t="shared" si="250"/>
        <v>-2634376066</v>
      </c>
      <c r="I454" s="19">
        <f t="shared" si="250"/>
        <v>-2526576066</v>
      </c>
      <c r="J454" s="19">
        <f t="shared" si="250"/>
        <v>276552058.55999947</v>
      </c>
      <c r="K454" s="19">
        <f t="shared" si="250"/>
        <v>-2468810000</v>
      </c>
      <c r="L454" s="20">
        <f>K454/J454*100</f>
        <v>-892.7107658699196</v>
      </c>
      <c r="M454" s="19">
        <f>M430+M452</f>
        <v>-2807628125</v>
      </c>
      <c r="N454" s="19"/>
      <c r="O454" s="19">
        <f>O430+O452</f>
        <v>-1037585690</v>
      </c>
      <c r="P454" s="19"/>
      <c r="Q454" s="20">
        <f>O454/J454*100</f>
        <v>-375.1863918145054</v>
      </c>
      <c r="R454" s="20">
        <f>O454/M454*100</f>
        <v>36.95595156498869</v>
      </c>
      <c r="S454" s="19">
        <f>S430+S452</f>
        <v>-1770042435</v>
      </c>
      <c r="T454" s="19"/>
      <c r="U454" s="20">
        <f>S454/M454*100</f>
        <v>63.04404843501131</v>
      </c>
      <c r="V454" s="20">
        <f>S454/O454*100</f>
        <v>170.5924100591634</v>
      </c>
      <c r="W454" s="19">
        <f>W430+W452</f>
        <v>-1067938951</v>
      </c>
      <c r="X454" s="20">
        <f>W454/S454*100</f>
        <v>60.334087470620446</v>
      </c>
      <c r="Y454" s="19">
        <f>Y430+Y452</f>
        <v>14263867000</v>
      </c>
      <c r="Z454" s="20"/>
      <c r="AA454" s="19">
        <f>AA430+AA452</f>
        <v>14823252000</v>
      </c>
      <c r="AB454" s="20"/>
      <c r="AC454" s="19"/>
      <c r="AD454" s="19"/>
      <c r="AE454" s="19"/>
      <c r="AF454" s="19"/>
      <c r="AI454" s="19">
        <f>AI430+AI452</f>
        <v>-1027962200</v>
      </c>
      <c r="AJ454" s="19">
        <f>AJ430+AJ452</f>
        <v>-390000000</v>
      </c>
      <c r="AK454" s="19">
        <f>AK430+AK452</f>
        <v>-1770042435</v>
      </c>
      <c r="AL454" s="19">
        <f>AJ454-AI454</f>
        <v>637962200</v>
      </c>
      <c r="AM454" s="19">
        <f>AK454-AJ454</f>
        <v>-1380042435</v>
      </c>
    </row>
    <row r="455" spans="3:39" s="27" customFormat="1" ht="15.75">
      <c r="C455" s="68" t="s">
        <v>614</v>
      </c>
      <c r="D455" s="74"/>
      <c r="E455" s="74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I455" s="19"/>
      <c r="AJ455" s="19"/>
      <c r="AK455" s="19"/>
      <c r="AL455" s="19"/>
      <c r="AM455" s="19"/>
    </row>
    <row r="456" spans="1:39" ht="12" customHeight="1">
      <c r="A456" s="63"/>
      <c r="C456" s="75" t="s">
        <v>615</v>
      </c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I456" s="25"/>
      <c r="AJ456" s="25"/>
      <c r="AK456" s="25"/>
      <c r="AL456" s="25"/>
      <c r="AM456" s="25"/>
    </row>
    <row r="457" spans="1:39" s="27" customFormat="1" ht="15.75">
      <c r="A457" s="22"/>
      <c r="B457" s="17" t="s">
        <v>616</v>
      </c>
      <c r="C457" s="60" t="s">
        <v>617</v>
      </c>
      <c r="E457" s="19">
        <v>476590746</v>
      </c>
      <c r="F457" s="19"/>
      <c r="G457" s="19">
        <v>1080559821</v>
      </c>
      <c r="H457" s="19"/>
      <c r="I457" s="19">
        <v>2531076066</v>
      </c>
      <c r="J457" s="19">
        <v>2531076066</v>
      </c>
      <c r="K457" s="19">
        <v>2468810000</v>
      </c>
      <c r="L457" s="20">
        <f>K457/J457*100</f>
        <v>97.53993699215833</v>
      </c>
      <c r="M457" s="19">
        <v>2807628125</v>
      </c>
      <c r="N457" s="19"/>
      <c r="O457" s="19">
        <v>2807628125</v>
      </c>
      <c r="P457" s="19"/>
      <c r="Q457" s="20">
        <f>O457/J457*100</f>
        <v>110.92626423658022</v>
      </c>
      <c r="R457" s="20">
        <f>O457/M457*100</f>
        <v>100</v>
      </c>
      <c r="S457" s="19">
        <f>O459</f>
        <v>1770042435</v>
      </c>
      <c r="T457" s="19"/>
      <c r="U457" s="20">
        <f>S457/M457*100</f>
        <v>63.04404843501131</v>
      </c>
      <c r="V457" s="20">
        <f>S457/O457*100</f>
        <v>63.04404843501131</v>
      </c>
      <c r="W457" s="19">
        <v>0</v>
      </c>
      <c r="X457" s="20"/>
      <c r="Y457" s="19"/>
      <c r="Z457" s="20"/>
      <c r="AA457" s="19"/>
      <c r="AB457" s="20"/>
      <c r="AC457" s="19"/>
      <c r="AD457" s="19"/>
      <c r="AE457" s="19"/>
      <c r="AF457" s="19"/>
      <c r="AI457" s="19">
        <f>200000000</f>
        <v>200000000</v>
      </c>
      <c r="AJ457" s="19">
        <f>200000000+250000000-60000000</f>
        <v>390000000</v>
      </c>
      <c r="AK457" s="19">
        <v>1770042435</v>
      </c>
      <c r="AL457" s="19">
        <f>AJ457-AI457</f>
        <v>190000000</v>
      </c>
      <c r="AM457" s="19">
        <f>AK457-AJ457</f>
        <v>1380042435</v>
      </c>
    </row>
    <row r="458" spans="1:39" s="16" customFormat="1" ht="15.75">
      <c r="A458" s="76"/>
      <c r="B458" s="27"/>
      <c r="C458" s="67" t="s">
        <v>618</v>
      </c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I458" s="23"/>
      <c r="AJ458" s="23"/>
      <c r="AK458" s="23"/>
      <c r="AL458" s="23"/>
      <c r="AM458" s="23"/>
    </row>
    <row r="459" spans="1:39" s="16" customFormat="1" ht="15.75">
      <c r="A459" s="76"/>
      <c r="B459" s="17" t="s">
        <v>619</v>
      </c>
      <c r="C459" s="60" t="s">
        <v>617</v>
      </c>
      <c r="E459" s="19">
        <f>E454+E457</f>
        <v>1991836504.4799995</v>
      </c>
      <c r="F459" s="23"/>
      <c r="G459" s="19">
        <f>G454+G457</f>
        <v>2531076069.6099987</v>
      </c>
      <c r="H459" s="23"/>
      <c r="I459" s="19">
        <f>I454+I457</f>
        <v>4500000</v>
      </c>
      <c r="J459" s="19">
        <f>J454+J457</f>
        <v>2807628124.5599995</v>
      </c>
      <c r="K459" s="19">
        <f>K454+K457</f>
        <v>0</v>
      </c>
      <c r="L459" s="20">
        <f>K459/J459*100</f>
        <v>0</v>
      </c>
      <c r="M459" s="19">
        <f>M454+M457</f>
        <v>0</v>
      </c>
      <c r="N459" s="19"/>
      <c r="O459" s="19">
        <f>O454+O457</f>
        <v>1770042435</v>
      </c>
      <c r="P459" s="19"/>
      <c r="Q459" s="20">
        <f>O459/J459*100</f>
        <v>63.04404844489133</v>
      </c>
      <c r="R459" s="20"/>
      <c r="S459" s="19">
        <f>S454+S457</f>
        <v>0</v>
      </c>
      <c r="T459" s="19"/>
      <c r="U459" s="20"/>
      <c r="V459" s="20"/>
      <c r="W459" s="19">
        <f>W454+W457</f>
        <v>-1067938951</v>
      </c>
      <c r="X459" s="20"/>
      <c r="Y459" s="19">
        <f>Y454+Y457</f>
        <v>14263867000</v>
      </c>
      <c r="Z459" s="20"/>
      <c r="AA459" s="19">
        <f>AA454+AA457</f>
        <v>14823252000</v>
      </c>
      <c r="AB459" s="20"/>
      <c r="AC459" s="19"/>
      <c r="AD459" s="19"/>
      <c r="AE459" s="19"/>
      <c r="AF459" s="19"/>
      <c r="AI459" s="19">
        <f>AI454+AI457</f>
        <v>-827962200</v>
      </c>
      <c r="AJ459" s="19">
        <f>AJ454+AJ457</f>
        <v>0</v>
      </c>
      <c r="AK459" s="19">
        <f>AK454+AK457</f>
        <v>0</v>
      </c>
      <c r="AL459" s="19">
        <f>AJ459-AI459</f>
        <v>827962200</v>
      </c>
      <c r="AM459" s="19">
        <f>AK459-AJ459</f>
        <v>0</v>
      </c>
    </row>
    <row r="460" spans="1:39" s="16" customFormat="1" ht="15.75">
      <c r="A460" s="76"/>
      <c r="B460" s="27"/>
      <c r="C460" s="67" t="s">
        <v>620</v>
      </c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I460" s="23"/>
      <c r="AJ460" s="23"/>
      <c r="AK460" s="23"/>
      <c r="AL460" s="23"/>
      <c r="AM460" s="23"/>
    </row>
    <row r="461" spans="1:39" s="35" customFormat="1" ht="12.75" hidden="1">
      <c r="A461" s="30"/>
      <c r="C461" s="35" t="s">
        <v>621</v>
      </c>
      <c r="D461" s="36">
        <f>D9-D283</f>
        <v>9468087300</v>
      </c>
      <c r="E461" s="36">
        <f aca="true" t="shared" si="251" ref="E461:K461">E9+E394-E283</f>
        <v>12206887310.48</v>
      </c>
      <c r="F461" s="36">
        <f t="shared" si="251"/>
        <v>10276876200</v>
      </c>
      <c r="G461" s="36">
        <f t="shared" si="251"/>
        <v>12451195509.609999</v>
      </c>
      <c r="H461" s="36">
        <f t="shared" si="251"/>
        <v>11692600209</v>
      </c>
      <c r="I461" s="36">
        <f t="shared" si="251"/>
        <v>12293048634</v>
      </c>
      <c r="J461" s="36">
        <f t="shared" si="251"/>
        <v>11730396706.88</v>
      </c>
      <c r="K461" s="36">
        <f t="shared" si="251"/>
        <v>12421714000</v>
      </c>
      <c r="L461" s="37">
        <f>K461/J461*100</f>
        <v>105.89338374817738</v>
      </c>
      <c r="M461" s="36">
        <f>M9+M394-M283</f>
        <v>13544287303</v>
      </c>
      <c r="N461" s="36"/>
      <c r="O461" s="36">
        <f>O9+O394-O283</f>
        <v>13042823925</v>
      </c>
      <c r="P461" s="36"/>
      <c r="Q461" s="37">
        <f>O461/J461*100</f>
        <v>111.18825945034108</v>
      </c>
      <c r="R461" s="37">
        <f>O461/M461*100</f>
        <v>96.2976023264884</v>
      </c>
      <c r="S461" s="36">
        <f>S9+S394-S283</f>
        <v>14530953950</v>
      </c>
      <c r="T461" s="36"/>
      <c r="U461" s="37">
        <f>S461/M461*100</f>
        <v>107.28474392876662</v>
      </c>
      <c r="V461" s="37">
        <f>S461/O461*100</f>
        <v>111.40956922793083</v>
      </c>
      <c r="W461" s="36">
        <f>W9+W394-W283</f>
        <v>13911642700</v>
      </c>
      <c r="X461" s="37">
        <f>W461/S461*100</f>
        <v>95.73798628685351</v>
      </c>
      <c r="Y461" s="36">
        <f>Y9+Y394-Y283</f>
        <v>14272367000</v>
      </c>
      <c r="Z461" s="37">
        <f>Y461/W461*100</f>
        <v>102.5929669685953</v>
      </c>
      <c r="AA461" s="36">
        <f>AA9+AA394-AA283</f>
        <v>14831752000</v>
      </c>
      <c r="AB461" s="37">
        <f>AA461/Y461*100</f>
        <v>103.91935689433996</v>
      </c>
      <c r="AC461" s="36"/>
      <c r="AD461" s="36"/>
      <c r="AE461" s="36"/>
      <c r="AF461" s="36"/>
      <c r="AI461" s="36">
        <f>AI9+AI394-AI283</f>
        <v>13855159000</v>
      </c>
      <c r="AJ461" s="36">
        <f>AJ9+AJ394-AJ283</f>
        <v>14493121200</v>
      </c>
      <c r="AK461" s="36">
        <f>AK9+AK394-AK283</f>
        <v>14530953950</v>
      </c>
      <c r="AL461" s="36">
        <f>AJ461-AI461</f>
        <v>637962200</v>
      </c>
      <c r="AM461" s="36">
        <f>AK461-AJ461</f>
        <v>37832750</v>
      </c>
    </row>
    <row r="462" spans="1:39" ht="12.75">
      <c r="A462" s="77"/>
      <c r="B462" s="9"/>
      <c r="C462" s="9"/>
      <c r="D462" s="9"/>
      <c r="E462" s="9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78"/>
      <c r="AD462" s="78"/>
      <c r="AE462" s="25"/>
      <c r="AF462" s="25"/>
      <c r="AI462" s="66"/>
      <c r="AJ462" s="66"/>
      <c r="AK462" s="66"/>
      <c r="AL462" s="9"/>
      <c r="AM462" s="9"/>
    </row>
    <row r="463" spans="1:39" ht="12.75">
      <c r="A463" s="11" t="s">
        <v>22</v>
      </c>
      <c r="B463" s="12"/>
      <c r="C463" s="12" t="s">
        <v>23</v>
      </c>
      <c r="D463" s="12" t="s">
        <v>24</v>
      </c>
      <c r="E463" s="12" t="s">
        <v>25</v>
      </c>
      <c r="F463" s="12" t="s">
        <v>24</v>
      </c>
      <c r="G463" s="12" t="s">
        <v>25</v>
      </c>
      <c r="H463" s="12" t="s">
        <v>26</v>
      </c>
      <c r="I463" s="12" t="s">
        <v>27</v>
      </c>
      <c r="J463" s="12" t="s">
        <v>25</v>
      </c>
      <c r="K463" s="12" t="s">
        <v>26</v>
      </c>
      <c r="L463" s="12" t="s">
        <v>28</v>
      </c>
      <c r="M463" s="12" t="s">
        <v>29</v>
      </c>
      <c r="N463" s="12" t="s">
        <v>30</v>
      </c>
      <c r="O463" s="12" t="s">
        <v>31</v>
      </c>
      <c r="P463" s="12" t="s">
        <v>30</v>
      </c>
      <c r="Q463" s="12" t="s">
        <v>28</v>
      </c>
      <c r="R463" s="12" t="s">
        <v>28</v>
      </c>
      <c r="S463" s="12" t="s">
        <v>26</v>
      </c>
      <c r="T463" s="12" t="s">
        <v>30</v>
      </c>
      <c r="U463" s="12" t="s">
        <v>28</v>
      </c>
      <c r="V463" s="12" t="s">
        <v>28</v>
      </c>
      <c r="W463" s="12" t="s">
        <v>26</v>
      </c>
      <c r="X463" s="12" t="s">
        <v>28</v>
      </c>
      <c r="Y463" s="12" t="s">
        <v>26</v>
      </c>
      <c r="Z463" s="12" t="s">
        <v>28</v>
      </c>
      <c r="AA463" s="12" t="s">
        <v>26</v>
      </c>
      <c r="AB463" s="12" t="s">
        <v>28</v>
      </c>
      <c r="AC463" s="12"/>
      <c r="AD463" s="12"/>
      <c r="AE463" s="12"/>
      <c r="AF463" s="12"/>
      <c r="AI463" s="12" t="s">
        <v>32</v>
      </c>
      <c r="AJ463" s="12" t="s">
        <v>32</v>
      </c>
      <c r="AK463" s="12" t="s">
        <v>32</v>
      </c>
      <c r="AL463" s="12" t="s">
        <v>33</v>
      </c>
      <c r="AM463" s="12" t="s">
        <v>33</v>
      </c>
    </row>
    <row r="464" spans="1:39" ht="12.75">
      <c r="A464" s="11" t="s">
        <v>34</v>
      </c>
      <c r="B464" s="12"/>
      <c r="C464" s="12"/>
      <c r="D464" s="12">
        <v>1997</v>
      </c>
      <c r="E464" s="12">
        <v>1997</v>
      </c>
      <c r="F464" s="12">
        <v>1998</v>
      </c>
      <c r="G464" s="12">
        <v>1998</v>
      </c>
      <c r="H464" s="12">
        <v>1999</v>
      </c>
      <c r="I464" s="12">
        <v>1999</v>
      </c>
      <c r="J464" s="12">
        <v>1999</v>
      </c>
      <c r="K464" s="12">
        <v>2000</v>
      </c>
      <c r="L464" s="12" t="s">
        <v>35</v>
      </c>
      <c r="M464" s="12">
        <v>2000</v>
      </c>
      <c r="N464" s="12" t="s">
        <v>36</v>
      </c>
      <c r="O464" s="12">
        <v>2000</v>
      </c>
      <c r="P464" s="12" t="s">
        <v>37</v>
      </c>
      <c r="Q464" s="12" t="s">
        <v>38</v>
      </c>
      <c r="R464" s="12" t="s">
        <v>39</v>
      </c>
      <c r="S464" s="12">
        <v>2001</v>
      </c>
      <c r="T464" s="12" t="s">
        <v>40</v>
      </c>
      <c r="U464" s="12" t="s">
        <v>41</v>
      </c>
      <c r="V464" s="12" t="s">
        <v>39</v>
      </c>
      <c r="W464" s="12">
        <v>2002</v>
      </c>
      <c r="X464" s="12" t="s">
        <v>42</v>
      </c>
      <c r="Y464" s="12">
        <v>2003</v>
      </c>
      <c r="Z464" s="12" t="s">
        <v>43</v>
      </c>
      <c r="AA464" s="12">
        <v>2004</v>
      </c>
      <c r="AB464" s="12" t="s">
        <v>44</v>
      </c>
      <c r="AC464" s="12"/>
      <c r="AD464" s="12"/>
      <c r="AE464" s="12"/>
      <c r="AF464" s="12"/>
      <c r="AI464" s="13">
        <v>36829</v>
      </c>
      <c r="AJ464" s="13" t="s">
        <v>45</v>
      </c>
      <c r="AK464" s="12" t="s">
        <v>46</v>
      </c>
      <c r="AL464" s="14" t="s">
        <v>47</v>
      </c>
      <c r="AM464" s="14" t="s">
        <v>47</v>
      </c>
    </row>
    <row r="465" spans="1:39" ht="13.5" thickBot="1">
      <c r="A465" s="15">
        <v>1</v>
      </c>
      <c r="B465" s="15"/>
      <c r="C465" s="15">
        <v>2</v>
      </c>
      <c r="D465" s="15">
        <v>3</v>
      </c>
      <c r="E465" s="15">
        <v>3</v>
      </c>
      <c r="F465" s="15">
        <v>4</v>
      </c>
      <c r="G465" s="15">
        <v>3</v>
      </c>
      <c r="H465" s="15">
        <v>3</v>
      </c>
      <c r="I465" s="15">
        <v>3</v>
      </c>
      <c r="J465" s="15">
        <v>3</v>
      </c>
      <c r="K465" s="15">
        <v>4</v>
      </c>
      <c r="L465" s="15">
        <v>5</v>
      </c>
      <c r="M465" s="15">
        <v>5</v>
      </c>
      <c r="N465" s="15"/>
      <c r="O465" s="15">
        <v>6</v>
      </c>
      <c r="P465" s="15"/>
      <c r="Q465" s="15">
        <v>8</v>
      </c>
      <c r="R465" s="15">
        <v>9</v>
      </c>
      <c r="S465" s="15">
        <v>7</v>
      </c>
      <c r="T465" s="15"/>
      <c r="U465" s="15">
        <v>8</v>
      </c>
      <c r="V465" s="15">
        <v>9</v>
      </c>
      <c r="W465" s="15">
        <v>10</v>
      </c>
      <c r="X465" s="15">
        <v>11</v>
      </c>
      <c r="Y465" s="15">
        <v>13</v>
      </c>
      <c r="Z465" s="15">
        <v>14</v>
      </c>
      <c r="AA465" s="15">
        <v>15</v>
      </c>
      <c r="AB465" s="15">
        <v>16</v>
      </c>
      <c r="AC465" s="15"/>
      <c r="AD465" s="15"/>
      <c r="AE465" s="15"/>
      <c r="AF465" s="15"/>
      <c r="AI465" s="15">
        <v>3</v>
      </c>
      <c r="AJ465" s="15">
        <v>3</v>
      </c>
      <c r="AK465" s="15">
        <v>4</v>
      </c>
      <c r="AL465" s="15">
        <v>5</v>
      </c>
      <c r="AM465" s="15">
        <v>5</v>
      </c>
    </row>
    <row r="466" spans="1:39" ht="13.5" thickTop="1">
      <c r="A466" s="63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I466" s="25"/>
      <c r="AJ466" s="25"/>
      <c r="AK466" s="25"/>
      <c r="AL466" s="25"/>
      <c r="AM466" s="25"/>
    </row>
    <row r="467" spans="1:39" s="27" customFormat="1" ht="15.75">
      <c r="A467" s="22"/>
      <c r="C467" s="27" t="s">
        <v>622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I467" s="19"/>
      <c r="AJ467" s="19"/>
      <c r="AK467" s="19"/>
      <c r="AL467" s="19"/>
      <c r="AM467" s="19"/>
    </row>
    <row r="468" spans="1:39" ht="12.75">
      <c r="A468" s="63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I468" s="25"/>
      <c r="AJ468" s="25"/>
      <c r="AK468" s="25"/>
      <c r="AL468" s="25"/>
      <c r="AM468" s="25"/>
    </row>
    <row r="469" spans="1:39" ht="12.75" customHeight="1">
      <c r="A469" s="79" t="s">
        <v>144</v>
      </c>
      <c r="C469" s="1" t="s">
        <v>145</v>
      </c>
      <c r="D469" s="25"/>
      <c r="E469" s="25">
        <v>122000000</v>
      </c>
      <c r="F469" s="25"/>
      <c r="G469" s="25">
        <f>G68</f>
        <v>129240307</v>
      </c>
      <c r="H469" s="25">
        <v>340000000</v>
      </c>
      <c r="I469" s="25">
        <v>340000000</v>
      </c>
      <c r="J469" s="25">
        <f>J68</f>
        <v>278611529.27</v>
      </c>
      <c r="K469" s="25">
        <f>K68</f>
        <v>440000000</v>
      </c>
      <c r="L469" s="59">
        <f aca="true" t="shared" si="252" ref="L469:L480">K469/J469*100</f>
        <v>157.925984309716</v>
      </c>
      <c r="M469" s="25">
        <f>M68</f>
        <v>806481878</v>
      </c>
      <c r="N469" s="25"/>
      <c r="O469" s="25">
        <f>O68</f>
        <v>600000000</v>
      </c>
      <c r="P469" s="25"/>
      <c r="Q469" s="59">
        <f aca="true" t="shared" si="253" ref="Q469:Q480">O469/J469*100</f>
        <v>215.35361496779456</v>
      </c>
      <c r="R469" s="59">
        <f aca="true" t="shared" si="254" ref="R469:R478">O469/M469*100</f>
        <v>74.39720796801339</v>
      </c>
      <c r="S469" s="25">
        <f>S68</f>
        <v>740000000</v>
      </c>
      <c r="T469" s="25"/>
      <c r="U469" s="59">
        <f aca="true" t="shared" si="255" ref="U469:U478">S469/M469*100</f>
        <v>91.75655649388318</v>
      </c>
      <c r="V469" s="59">
        <f aca="true" t="shared" si="256" ref="V469:V478">S469/O469*100</f>
        <v>123.33333333333334</v>
      </c>
      <c r="W469" s="25">
        <f>W68</f>
        <v>780000000</v>
      </c>
      <c r="X469" s="59">
        <f aca="true" t="shared" si="257" ref="X469:X478">W469/S469*100</f>
        <v>105.40540540540539</v>
      </c>
      <c r="Y469" s="25">
        <f>Y68</f>
        <v>780000000</v>
      </c>
      <c r="Z469" s="59">
        <f aca="true" t="shared" si="258" ref="Z469:Z478">Y469/W469*100</f>
        <v>100</v>
      </c>
      <c r="AA469" s="25">
        <f>AA68</f>
        <v>720000000</v>
      </c>
      <c r="AB469" s="59">
        <f aca="true" t="shared" si="259" ref="AB469:AB478">AA469/Y469*100</f>
        <v>92.3076923076923</v>
      </c>
      <c r="AC469" s="25"/>
      <c r="AD469" s="25"/>
      <c r="AE469" s="25">
        <f aca="true" t="shared" si="260" ref="AE469:AE486">M469*1.044</f>
        <v>841967080.6320001</v>
      </c>
      <c r="AF469" s="25"/>
      <c r="AI469" s="25">
        <f aca="true" t="shared" si="261" ref="AI469:AK470">AI68</f>
        <v>740000000</v>
      </c>
      <c r="AJ469" s="25">
        <f t="shared" si="261"/>
        <v>740000000</v>
      </c>
      <c r="AK469" s="25">
        <f t="shared" si="261"/>
        <v>740000000</v>
      </c>
      <c r="AL469" s="25">
        <f aca="true" t="shared" si="262" ref="AL469:AL486">AJ469-AI469</f>
        <v>0</v>
      </c>
      <c r="AM469" s="25">
        <f aca="true" t="shared" si="263" ref="AM469:AM486">AK469-AJ469</f>
        <v>0</v>
      </c>
    </row>
    <row r="470" spans="1:39" ht="12.75" customHeight="1">
      <c r="A470" s="79" t="s">
        <v>146</v>
      </c>
      <c r="C470" s="1" t="s">
        <v>0</v>
      </c>
      <c r="D470" s="25">
        <v>7000000</v>
      </c>
      <c r="E470" s="25">
        <v>6769085</v>
      </c>
      <c r="F470" s="25">
        <v>7000000</v>
      </c>
      <c r="G470" s="25">
        <f>G69</f>
        <v>7079919</v>
      </c>
      <c r="H470" s="25">
        <v>16000000</v>
      </c>
      <c r="I470" s="25">
        <v>15000000</v>
      </c>
      <c r="J470" s="25">
        <f>J69</f>
        <v>11799718</v>
      </c>
      <c r="K470" s="25">
        <f>K69</f>
        <v>16000000</v>
      </c>
      <c r="L470" s="59">
        <f t="shared" si="252"/>
        <v>135.5964608645732</v>
      </c>
      <c r="M470" s="25">
        <f>M69</f>
        <v>16000000</v>
      </c>
      <c r="N470" s="25"/>
      <c r="O470" s="25">
        <f>O69</f>
        <v>16000000</v>
      </c>
      <c r="P470" s="25"/>
      <c r="Q470" s="59">
        <f t="shared" si="253"/>
        <v>135.5964608645732</v>
      </c>
      <c r="R470" s="59">
        <f t="shared" si="254"/>
        <v>100</v>
      </c>
      <c r="S470" s="25">
        <f>S69</f>
        <v>17000000</v>
      </c>
      <c r="T470" s="25"/>
      <c r="U470" s="59">
        <f t="shared" si="255"/>
        <v>106.25</v>
      </c>
      <c r="V470" s="59">
        <f t="shared" si="256"/>
        <v>106.25</v>
      </c>
      <c r="W470" s="25">
        <f>W69</f>
        <v>20000000</v>
      </c>
      <c r="X470" s="59">
        <f t="shared" si="257"/>
        <v>117.64705882352942</v>
      </c>
      <c r="Y470" s="25">
        <f>Y69</f>
        <v>21000000</v>
      </c>
      <c r="Z470" s="59">
        <f t="shared" si="258"/>
        <v>105</v>
      </c>
      <c r="AA470" s="25">
        <f>AA69</f>
        <v>22000000</v>
      </c>
      <c r="AB470" s="59">
        <f t="shared" si="259"/>
        <v>104.76190476190477</v>
      </c>
      <c r="AC470" s="25"/>
      <c r="AD470" s="25"/>
      <c r="AE470" s="25">
        <f t="shared" si="260"/>
        <v>16704000</v>
      </c>
      <c r="AF470" s="25"/>
      <c r="AI470" s="25">
        <f t="shared" si="261"/>
        <v>17000000</v>
      </c>
      <c r="AJ470" s="25">
        <f t="shared" si="261"/>
        <v>17000000</v>
      </c>
      <c r="AK470" s="25">
        <f t="shared" si="261"/>
        <v>17000000</v>
      </c>
      <c r="AL470" s="25">
        <f t="shared" si="262"/>
        <v>0</v>
      </c>
      <c r="AM470" s="25">
        <f t="shared" si="263"/>
        <v>0</v>
      </c>
    </row>
    <row r="471" spans="1:39" ht="12.75" customHeight="1">
      <c r="A471" s="79" t="s">
        <v>155</v>
      </c>
      <c r="C471" s="1" t="s">
        <v>623</v>
      </c>
      <c r="D471" s="25">
        <v>340000000</v>
      </c>
      <c r="E471" s="25">
        <v>341383750</v>
      </c>
      <c r="F471" s="25">
        <f>355720000-14700000-2551800-1020000</f>
        <v>337448200</v>
      </c>
      <c r="G471" s="25">
        <f>G74</f>
        <v>179791862.97</v>
      </c>
      <c r="H471" s="25">
        <f>8280000+38876275</f>
        <v>47156275</v>
      </c>
      <c r="I471" s="25">
        <f>8280000+38876275</f>
        <v>47156275</v>
      </c>
      <c r="J471" s="25">
        <f aca="true" t="shared" si="264" ref="J471:K473">J74</f>
        <v>26173892</v>
      </c>
      <c r="K471" s="25">
        <f t="shared" si="264"/>
        <v>10000000</v>
      </c>
      <c r="L471" s="59">
        <f t="shared" si="252"/>
        <v>38.206010783570136</v>
      </c>
      <c r="M471" s="25">
        <f>M74</f>
        <v>48876300</v>
      </c>
      <c r="N471" s="25"/>
      <c r="O471" s="25">
        <f>O74</f>
        <v>26000000</v>
      </c>
      <c r="P471" s="25"/>
      <c r="Q471" s="59">
        <f t="shared" si="253"/>
        <v>99.33562803728235</v>
      </c>
      <c r="R471" s="59">
        <f t="shared" si="254"/>
        <v>53.19551602719519</v>
      </c>
      <c r="S471" s="25">
        <f>S74</f>
        <v>12000000</v>
      </c>
      <c r="T471" s="25"/>
      <c r="U471" s="59">
        <f t="shared" si="255"/>
        <v>24.55177662793624</v>
      </c>
      <c r="V471" s="59">
        <f t="shared" si="256"/>
        <v>46.15384615384615</v>
      </c>
      <c r="W471" s="25">
        <f>W74</f>
        <v>14000000</v>
      </c>
      <c r="X471" s="59">
        <f t="shared" si="257"/>
        <v>116.66666666666667</v>
      </c>
      <c r="Y471" s="25">
        <f>Y74</f>
        <v>14500000</v>
      </c>
      <c r="Z471" s="59">
        <f t="shared" si="258"/>
        <v>103.57142857142858</v>
      </c>
      <c r="AA471" s="25">
        <f>AA74</f>
        <v>15000000</v>
      </c>
      <c r="AB471" s="59">
        <f t="shared" si="259"/>
        <v>103.44827586206897</v>
      </c>
      <c r="AC471" s="25"/>
      <c r="AD471" s="25"/>
      <c r="AE471" s="25">
        <f t="shared" si="260"/>
        <v>51026857.2</v>
      </c>
      <c r="AF471" s="25"/>
      <c r="AI471" s="25">
        <f aca="true" t="shared" si="265" ref="AI471:AK473">AI74</f>
        <v>12000000</v>
      </c>
      <c r="AJ471" s="25">
        <f t="shared" si="265"/>
        <v>12000000</v>
      </c>
      <c r="AK471" s="25">
        <f t="shared" si="265"/>
        <v>12000000</v>
      </c>
      <c r="AL471" s="25">
        <f t="shared" si="262"/>
        <v>0</v>
      </c>
      <c r="AM471" s="25">
        <f t="shared" si="263"/>
        <v>0</v>
      </c>
    </row>
    <row r="472" spans="1:39" ht="12.75" customHeight="1" hidden="1">
      <c r="A472" s="79" t="s">
        <v>157</v>
      </c>
      <c r="C472" s="1" t="s">
        <v>158</v>
      </c>
      <c r="D472" s="25"/>
      <c r="E472" s="25"/>
      <c r="F472" s="25"/>
      <c r="G472" s="25">
        <f>G75</f>
        <v>0</v>
      </c>
      <c r="H472" s="25"/>
      <c r="I472" s="25"/>
      <c r="J472" s="25">
        <f t="shared" si="264"/>
        <v>0</v>
      </c>
      <c r="K472" s="25">
        <f t="shared" si="264"/>
        <v>0</v>
      </c>
      <c r="L472" s="59" t="e">
        <f t="shared" si="252"/>
        <v>#DIV/0!</v>
      </c>
      <c r="M472" s="25">
        <f>M75</f>
        <v>0</v>
      </c>
      <c r="N472" s="25"/>
      <c r="O472" s="25">
        <f>O75</f>
        <v>0</v>
      </c>
      <c r="P472" s="25"/>
      <c r="Q472" s="59" t="e">
        <f t="shared" si="253"/>
        <v>#DIV/0!</v>
      </c>
      <c r="R472" s="59" t="e">
        <f t="shared" si="254"/>
        <v>#DIV/0!</v>
      </c>
      <c r="S472" s="25">
        <f>S75</f>
        <v>0</v>
      </c>
      <c r="T472" s="25"/>
      <c r="U472" s="59" t="e">
        <f t="shared" si="255"/>
        <v>#DIV/0!</v>
      </c>
      <c r="V472" s="59" t="e">
        <f t="shared" si="256"/>
        <v>#DIV/0!</v>
      </c>
      <c r="W472" s="25">
        <f>W75</f>
        <v>0</v>
      </c>
      <c r="X472" s="59" t="e">
        <f t="shared" si="257"/>
        <v>#DIV/0!</v>
      </c>
      <c r="Y472" s="25">
        <f>Y75</f>
        <v>0</v>
      </c>
      <c r="Z472" s="59" t="e">
        <f t="shared" si="258"/>
        <v>#DIV/0!</v>
      </c>
      <c r="AA472" s="25">
        <f>AA75</f>
        <v>0</v>
      </c>
      <c r="AB472" s="59" t="e">
        <f t="shared" si="259"/>
        <v>#DIV/0!</v>
      </c>
      <c r="AC472" s="25"/>
      <c r="AD472" s="25"/>
      <c r="AE472" s="25">
        <f t="shared" si="260"/>
        <v>0</v>
      </c>
      <c r="AF472" s="25"/>
      <c r="AI472" s="25">
        <f t="shared" si="265"/>
        <v>0</v>
      </c>
      <c r="AJ472" s="25">
        <f t="shared" si="265"/>
        <v>0</v>
      </c>
      <c r="AK472" s="25">
        <f t="shared" si="265"/>
        <v>0</v>
      </c>
      <c r="AL472" s="25">
        <f t="shared" si="262"/>
        <v>0</v>
      </c>
      <c r="AM472" s="25">
        <f t="shared" si="263"/>
        <v>0</v>
      </c>
    </row>
    <row r="473" spans="1:39" ht="12.75" customHeight="1">
      <c r="A473" s="79" t="s">
        <v>159</v>
      </c>
      <c r="C473" s="1" t="s">
        <v>1</v>
      </c>
      <c r="D473" s="25">
        <v>40000000</v>
      </c>
      <c r="E473" s="25">
        <v>33276832</v>
      </c>
      <c r="F473" s="25">
        <v>60000000</v>
      </c>
      <c r="G473" s="25">
        <f>G76</f>
        <v>40233417</v>
      </c>
      <c r="H473" s="25">
        <v>40000000</v>
      </c>
      <c r="I473" s="25">
        <v>45000000</v>
      </c>
      <c r="J473" s="25">
        <f t="shared" si="264"/>
        <v>40117299</v>
      </c>
      <c r="K473" s="25">
        <f t="shared" si="264"/>
        <v>48500000</v>
      </c>
      <c r="L473" s="59">
        <f t="shared" si="252"/>
        <v>120.89547703597891</v>
      </c>
      <c r="M473" s="25">
        <f>M76</f>
        <v>48500000</v>
      </c>
      <c r="N473" s="25"/>
      <c r="O473" s="25">
        <f>O76</f>
        <v>48500000</v>
      </c>
      <c r="P473" s="25"/>
      <c r="Q473" s="59">
        <f t="shared" si="253"/>
        <v>120.89547703597891</v>
      </c>
      <c r="R473" s="59">
        <f t="shared" si="254"/>
        <v>100</v>
      </c>
      <c r="S473" s="25">
        <f>S76</f>
        <v>50000000</v>
      </c>
      <c r="T473" s="25"/>
      <c r="U473" s="59">
        <f t="shared" si="255"/>
        <v>103.09278350515463</v>
      </c>
      <c r="V473" s="59">
        <f t="shared" si="256"/>
        <v>103.09278350515463</v>
      </c>
      <c r="W473" s="25">
        <f>W76</f>
        <v>52000000</v>
      </c>
      <c r="X473" s="59">
        <f t="shared" si="257"/>
        <v>104</v>
      </c>
      <c r="Y473" s="25">
        <f>Y76</f>
        <v>54000000</v>
      </c>
      <c r="Z473" s="59">
        <f t="shared" si="258"/>
        <v>103.84615384615385</v>
      </c>
      <c r="AA473" s="25">
        <f>AA76</f>
        <v>55000000</v>
      </c>
      <c r="AB473" s="59">
        <f t="shared" si="259"/>
        <v>101.85185185185186</v>
      </c>
      <c r="AC473" s="25"/>
      <c r="AD473" s="25"/>
      <c r="AE473" s="25">
        <f t="shared" si="260"/>
        <v>50634000</v>
      </c>
      <c r="AF473" s="25"/>
      <c r="AI473" s="25">
        <f t="shared" si="265"/>
        <v>50000000</v>
      </c>
      <c r="AJ473" s="25">
        <f t="shared" si="265"/>
        <v>50000000</v>
      </c>
      <c r="AK473" s="25">
        <f t="shared" si="265"/>
        <v>50000000</v>
      </c>
      <c r="AL473" s="25">
        <f t="shared" si="262"/>
        <v>0</v>
      </c>
      <c r="AM473" s="25">
        <f t="shared" si="263"/>
        <v>0</v>
      </c>
    </row>
    <row r="474" spans="1:39" ht="12.75" customHeight="1">
      <c r="A474" s="79" t="s">
        <v>162</v>
      </c>
      <c r="C474" s="1" t="s">
        <v>163</v>
      </c>
      <c r="D474" s="25"/>
      <c r="E474" s="25">
        <f>SUM(E475:E478)</f>
        <v>73230572</v>
      </c>
      <c r="F474" s="25"/>
      <c r="G474" s="25">
        <f>SUM(G475:G478)</f>
        <v>81059823</v>
      </c>
      <c r="H474" s="25">
        <f>SUM(H475:H478)</f>
        <v>158625354</v>
      </c>
      <c r="I474" s="25">
        <f>SUM(I475:I478)</f>
        <v>163229579</v>
      </c>
      <c r="J474" s="25">
        <f>SUM(J475:J478)</f>
        <v>146540357.2</v>
      </c>
      <c r="K474" s="25">
        <f>SUM(K475:K478)</f>
        <v>110000000</v>
      </c>
      <c r="L474" s="59">
        <f t="shared" si="252"/>
        <v>75.06464574115287</v>
      </c>
      <c r="M474" s="25">
        <f>SUM(M475:M478)</f>
        <v>240000000</v>
      </c>
      <c r="N474" s="25"/>
      <c r="O474" s="25">
        <f>SUM(O475:O478)</f>
        <v>245000000</v>
      </c>
      <c r="P474" s="25"/>
      <c r="Q474" s="59">
        <f t="shared" si="253"/>
        <v>167.18943824165868</v>
      </c>
      <c r="R474" s="59">
        <f t="shared" si="254"/>
        <v>102.08333333333333</v>
      </c>
      <c r="S474" s="25">
        <f>SUM(S475:S478)</f>
        <v>95000000</v>
      </c>
      <c r="T474" s="25"/>
      <c r="U474" s="59">
        <f t="shared" si="255"/>
        <v>39.58333333333333</v>
      </c>
      <c r="V474" s="59">
        <f t="shared" si="256"/>
        <v>38.775510204081634</v>
      </c>
      <c r="W474" s="25">
        <f>SUM(W475:W478)</f>
        <v>95000000</v>
      </c>
      <c r="X474" s="59">
        <f t="shared" si="257"/>
        <v>100</v>
      </c>
      <c r="Y474" s="25">
        <f>SUM(Y475:Y478)</f>
        <v>125000000</v>
      </c>
      <c r="Z474" s="59">
        <f t="shared" si="258"/>
        <v>131.57894736842107</v>
      </c>
      <c r="AA474" s="25">
        <f>SUM(AA475:AA478)</f>
        <v>130000000</v>
      </c>
      <c r="AB474" s="59">
        <f t="shared" si="259"/>
        <v>104</v>
      </c>
      <c r="AC474" s="25"/>
      <c r="AD474" s="25"/>
      <c r="AE474" s="25">
        <f t="shared" si="260"/>
        <v>250560000</v>
      </c>
      <c r="AF474" s="25"/>
      <c r="AI474" s="25">
        <f>SUM(AI475:AI478)</f>
        <v>90000000</v>
      </c>
      <c r="AJ474" s="25">
        <f>SUM(AJ475:AJ478)</f>
        <v>90000000</v>
      </c>
      <c r="AK474" s="25">
        <f>SUM(AK475:AK478)</f>
        <v>95000000</v>
      </c>
      <c r="AL474" s="25">
        <f t="shared" si="262"/>
        <v>0</v>
      </c>
      <c r="AM474" s="25">
        <f t="shared" si="263"/>
        <v>5000000</v>
      </c>
    </row>
    <row r="475" spans="1:39" s="50" customFormat="1" ht="12.75" customHeight="1">
      <c r="A475" s="48" t="s">
        <v>2</v>
      </c>
      <c r="B475" s="49"/>
      <c r="C475" s="50" t="s">
        <v>3</v>
      </c>
      <c r="D475" s="51"/>
      <c r="E475" s="51">
        <v>53292633</v>
      </c>
      <c r="F475" s="51"/>
      <c r="G475" s="51">
        <f>G79</f>
        <v>43675603</v>
      </c>
      <c r="H475" s="51">
        <v>55000000</v>
      </c>
      <c r="I475" s="51">
        <v>30000000</v>
      </c>
      <c r="J475" s="51">
        <f aca="true" t="shared" si="266" ref="J475:K479">J79</f>
        <v>20000000</v>
      </c>
      <c r="K475" s="51">
        <f t="shared" si="266"/>
        <v>30000000</v>
      </c>
      <c r="L475" s="52">
        <f t="shared" si="252"/>
        <v>150</v>
      </c>
      <c r="M475" s="51">
        <f>M79</f>
        <v>55000000</v>
      </c>
      <c r="N475" s="51"/>
      <c r="O475" s="51">
        <f>O79</f>
        <v>55000000</v>
      </c>
      <c r="P475" s="51"/>
      <c r="Q475" s="52">
        <f t="shared" si="253"/>
        <v>275</v>
      </c>
      <c r="R475" s="52">
        <f t="shared" si="254"/>
        <v>100</v>
      </c>
      <c r="S475" s="51">
        <f>S79</f>
        <v>20000000</v>
      </c>
      <c r="T475" s="51"/>
      <c r="U475" s="52">
        <f t="shared" si="255"/>
        <v>36.36363636363637</v>
      </c>
      <c r="V475" s="52">
        <f t="shared" si="256"/>
        <v>36.36363636363637</v>
      </c>
      <c r="W475" s="51">
        <f>W79</f>
        <v>20000000</v>
      </c>
      <c r="X475" s="52">
        <f t="shared" si="257"/>
        <v>100</v>
      </c>
      <c r="Y475" s="51">
        <f>Y79</f>
        <v>35000000</v>
      </c>
      <c r="Z475" s="52">
        <f t="shared" si="258"/>
        <v>175</v>
      </c>
      <c r="AA475" s="51">
        <f>AA79</f>
        <v>40000000</v>
      </c>
      <c r="AB475" s="52">
        <f t="shared" si="259"/>
        <v>114.28571428571428</v>
      </c>
      <c r="AC475" s="51"/>
      <c r="AD475" s="51"/>
      <c r="AE475" s="31">
        <f t="shared" si="260"/>
        <v>57420000</v>
      </c>
      <c r="AF475" s="31"/>
      <c r="AI475" s="51">
        <f aca="true" t="shared" si="267" ref="AI475:AK479">AI79</f>
        <v>20000000</v>
      </c>
      <c r="AJ475" s="51">
        <f t="shared" si="267"/>
        <v>20000000</v>
      </c>
      <c r="AK475" s="51">
        <f t="shared" si="267"/>
        <v>20000000</v>
      </c>
      <c r="AL475" s="51">
        <f t="shared" si="262"/>
        <v>0</v>
      </c>
      <c r="AM475" s="51">
        <f t="shared" si="263"/>
        <v>0</v>
      </c>
    </row>
    <row r="476" spans="1:39" s="50" customFormat="1" ht="11.25">
      <c r="A476" s="48" t="s">
        <v>4</v>
      </c>
      <c r="B476" s="49"/>
      <c r="C476" s="50" t="s">
        <v>5</v>
      </c>
      <c r="D476" s="51"/>
      <c r="E476" s="51">
        <v>19937939</v>
      </c>
      <c r="F476" s="51"/>
      <c r="G476" s="51">
        <f>G80</f>
        <v>24293780</v>
      </c>
      <c r="H476" s="51">
        <v>88900000</v>
      </c>
      <c r="I476" s="51">
        <v>88900000</v>
      </c>
      <c r="J476" s="51">
        <f t="shared" si="266"/>
        <v>79567737.1</v>
      </c>
      <c r="K476" s="51">
        <f t="shared" si="266"/>
        <v>55000000</v>
      </c>
      <c r="L476" s="52">
        <f t="shared" si="252"/>
        <v>69.12349402481625</v>
      </c>
      <c r="M476" s="51">
        <f>M80</f>
        <v>135000000</v>
      </c>
      <c r="N476" s="51"/>
      <c r="O476" s="51">
        <f>O80</f>
        <v>135000000</v>
      </c>
      <c r="P476" s="51"/>
      <c r="Q476" s="52">
        <f t="shared" si="253"/>
        <v>169.66675806091263</v>
      </c>
      <c r="R476" s="52">
        <f t="shared" si="254"/>
        <v>100</v>
      </c>
      <c r="S476" s="51">
        <f>S80</f>
        <v>40000000</v>
      </c>
      <c r="T476" s="51"/>
      <c r="U476" s="52">
        <f t="shared" si="255"/>
        <v>29.629629629629626</v>
      </c>
      <c r="V476" s="52">
        <f t="shared" si="256"/>
        <v>29.629629629629626</v>
      </c>
      <c r="W476" s="51">
        <f>W80</f>
        <v>40000000</v>
      </c>
      <c r="X476" s="52">
        <f t="shared" si="257"/>
        <v>100</v>
      </c>
      <c r="Y476" s="51">
        <f>Y80</f>
        <v>50000000</v>
      </c>
      <c r="Z476" s="52">
        <f t="shared" si="258"/>
        <v>125</v>
      </c>
      <c r="AA476" s="51">
        <f>AA80</f>
        <v>50000000</v>
      </c>
      <c r="AB476" s="52">
        <f t="shared" si="259"/>
        <v>100</v>
      </c>
      <c r="AC476" s="51"/>
      <c r="AD476" s="51"/>
      <c r="AE476" s="31">
        <f t="shared" si="260"/>
        <v>140940000</v>
      </c>
      <c r="AF476" s="31"/>
      <c r="AI476" s="51">
        <f t="shared" si="267"/>
        <v>40000000</v>
      </c>
      <c r="AJ476" s="51">
        <f t="shared" si="267"/>
        <v>40000000</v>
      </c>
      <c r="AK476" s="51">
        <f t="shared" si="267"/>
        <v>40000000</v>
      </c>
      <c r="AL476" s="51">
        <f t="shared" si="262"/>
        <v>0</v>
      </c>
      <c r="AM476" s="51">
        <f t="shared" si="263"/>
        <v>0</v>
      </c>
    </row>
    <row r="477" spans="1:39" s="50" customFormat="1" ht="11.25">
      <c r="A477" s="48" t="s">
        <v>6</v>
      </c>
      <c r="B477" s="49"/>
      <c r="C477" s="50" t="s">
        <v>7</v>
      </c>
      <c r="D477" s="51"/>
      <c r="E477" s="51"/>
      <c r="F477" s="51"/>
      <c r="G477" s="51">
        <f>G81</f>
        <v>13090440</v>
      </c>
      <c r="H477" s="51">
        <v>9000000</v>
      </c>
      <c r="I477" s="51">
        <v>9000000</v>
      </c>
      <c r="J477" s="51">
        <f t="shared" si="266"/>
        <v>11643044.1</v>
      </c>
      <c r="K477" s="51">
        <f t="shared" si="266"/>
        <v>20000000</v>
      </c>
      <c r="L477" s="52">
        <f t="shared" si="252"/>
        <v>171.7763827760474</v>
      </c>
      <c r="M477" s="51">
        <f>M81</f>
        <v>45000000</v>
      </c>
      <c r="N477" s="51"/>
      <c r="O477" s="51">
        <f>O81</f>
        <v>45000000</v>
      </c>
      <c r="P477" s="51"/>
      <c r="Q477" s="52">
        <f t="shared" si="253"/>
        <v>386.4968612461066</v>
      </c>
      <c r="R477" s="52">
        <f t="shared" si="254"/>
        <v>100</v>
      </c>
      <c r="S477" s="51">
        <f>S81</f>
        <v>25000000</v>
      </c>
      <c r="T477" s="51"/>
      <c r="U477" s="52">
        <f t="shared" si="255"/>
        <v>55.55555555555556</v>
      </c>
      <c r="V477" s="52">
        <f t="shared" si="256"/>
        <v>55.55555555555556</v>
      </c>
      <c r="W477" s="51">
        <f>W81</f>
        <v>25000000</v>
      </c>
      <c r="X477" s="52">
        <f t="shared" si="257"/>
        <v>100</v>
      </c>
      <c r="Y477" s="51">
        <f>Y81</f>
        <v>25000000</v>
      </c>
      <c r="Z477" s="52">
        <f t="shared" si="258"/>
        <v>100</v>
      </c>
      <c r="AA477" s="51">
        <f>AA81</f>
        <v>25000000</v>
      </c>
      <c r="AB477" s="52">
        <f t="shared" si="259"/>
        <v>100</v>
      </c>
      <c r="AC477" s="51"/>
      <c r="AD477" s="51"/>
      <c r="AE477" s="31">
        <f t="shared" si="260"/>
        <v>46980000</v>
      </c>
      <c r="AF477" s="31"/>
      <c r="AI477" s="51">
        <f t="shared" si="267"/>
        <v>20000000</v>
      </c>
      <c r="AJ477" s="51">
        <f t="shared" si="267"/>
        <v>20000000</v>
      </c>
      <c r="AK477" s="51">
        <f t="shared" si="267"/>
        <v>25000000</v>
      </c>
      <c r="AL477" s="51">
        <f t="shared" si="262"/>
        <v>0</v>
      </c>
      <c r="AM477" s="51">
        <f t="shared" si="263"/>
        <v>5000000</v>
      </c>
    </row>
    <row r="478" spans="1:39" s="50" customFormat="1" ht="11.25">
      <c r="A478" s="48" t="s">
        <v>8</v>
      </c>
      <c r="B478" s="49"/>
      <c r="C478" s="50" t="s">
        <v>9</v>
      </c>
      <c r="D478" s="51"/>
      <c r="E478" s="51"/>
      <c r="F478" s="51"/>
      <c r="G478" s="51">
        <f>G82</f>
        <v>0</v>
      </c>
      <c r="H478" s="51">
        <v>5725354</v>
      </c>
      <c r="I478" s="51">
        <f>5725354+29604225</f>
        <v>35329579</v>
      </c>
      <c r="J478" s="51">
        <f t="shared" si="266"/>
        <v>35329576</v>
      </c>
      <c r="K478" s="51">
        <f t="shared" si="266"/>
        <v>5000000</v>
      </c>
      <c r="L478" s="52">
        <f t="shared" si="252"/>
        <v>14.15244836224471</v>
      </c>
      <c r="M478" s="51">
        <f>M82</f>
        <v>5000000</v>
      </c>
      <c r="N478" s="51"/>
      <c r="O478" s="51">
        <f>O82</f>
        <v>10000000</v>
      </c>
      <c r="P478" s="51"/>
      <c r="Q478" s="52">
        <f t="shared" si="253"/>
        <v>28.30489672448942</v>
      </c>
      <c r="R478" s="52">
        <f t="shared" si="254"/>
        <v>200</v>
      </c>
      <c r="S478" s="51">
        <f>S82</f>
        <v>10000000</v>
      </c>
      <c r="T478" s="51"/>
      <c r="U478" s="52">
        <f t="shared" si="255"/>
        <v>200</v>
      </c>
      <c r="V478" s="52">
        <f t="shared" si="256"/>
        <v>100</v>
      </c>
      <c r="W478" s="51">
        <f>W82</f>
        <v>10000000</v>
      </c>
      <c r="X478" s="52">
        <f t="shared" si="257"/>
        <v>100</v>
      </c>
      <c r="Y478" s="51">
        <f>Y82</f>
        <v>15000000</v>
      </c>
      <c r="Z478" s="52">
        <f t="shared" si="258"/>
        <v>150</v>
      </c>
      <c r="AA478" s="51">
        <f>AA82</f>
        <v>15000000</v>
      </c>
      <c r="AB478" s="52">
        <f t="shared" si="259"/>
        <v>100</v>
      </c>
      <c r="AC478" s="51"/>
      <c r="AD478" s="51"/>
      <c r="AE478" s="31">
        <f t="shared" si="260"/>
        <v>5220000</v>
      </c>
      <c r="AF478" s="31"/>
      <c r="AI478" s="51">
        <f t="shared" si="267"/>
        <v>10000000</v>
      </c>
      <c r="AJ478" s="51">
        <f t="shared" si="267"/>
        <v>10000000</v>
      </c>
      <c r="AK478" s="51">
        <f t="shared" si="267"/>
        <v>10000000</v>
      </c>
      <c r="AL478" s="51">
        <f t="shared" si="262"/>
        <v>0</v>
      </c>
      <c r="AM478" s="51">
        <f t="shared" si="263"/>
        <v>0</v>
      </c>
    </row>
    <row r="479" spans="1:39" ht="12.75" customHeight="1" hidden="1">
      <c r="A479" s="79" t="s">
        <v>164</v>
      </c>
      <c r="C479" s="1" t="s">
        <v>165</v>
      </c>
      <c r="D479" s="25"/>
      <c r="E479" s="25"/>
      <c r="F479" s="25"/>
      <c r="G479" s="25">
        <f>G83</f>
        <v>0</v>
      </c>
      <c r="H479" s="25"/>
      <c r="I479" s="25"/>
      <c r="J479" s="25">
        <f t="shared" si="266"/>
        <v>2826399.87</v>
      </c>
      <c r="K479" s="25">
        <f t="shared" si="266"/>
        <v>0</v>
      </c>
      <c r="L479" s="25">
        <f t="shared" si="252"/>
        <v>0</v>
      </c>
      <c r="M479" s="25">
        <f>M83</f>
        <v>0</v>
      </c>
      <c r="N479" s="25"/>
      <c r="O479" s="25">
        <f>O83</f>
        <v>0</v>
      </c>
      <c r="P479" s="25"/>
      <c r="Q479" s="25">
        <f t="shared" si="253"/>
        <v>0</v>
      </c>
      <c r="R479" s="25"/>
      <c r="S479" s="25">
        <f>S83</f>
        <v>0</v>
      </c>
      <c r="T479" s="25"/>
      <c r="U479" s="25"/>
      <c r="V479" s="25"/>
      <c r="W479" s="25">
        <f>W83</f>
        <v>0</v>
      </c>
      <c r="X479" s="25"/>
      <c r="Y479" s="25">
        <f>Y83</f>
        <v>0</v>
      </c>
      <c r="Z479" s="25"/>
      <c r="AA479" s="25">
        <f>AA83</f>
        <v>0</v>
      </c>
      <c r="AB479" s="25"/>
      <c r="AC479" s="25"/>
      <c r="AD479" s="25"/>
      <c r="AE479" s="25">
        <f t="shared" si="260"/>
        <v>0</v>
      </c>
      <c r="AF479" s="25"/>
      <c r="AI479" s="25">
        <f t="shared" si="267"/>
        <v>0</v>
      </c>
      <c r="AJ479" s="25">
        <f t="shared" si="267"/>
        <v>0</v>
      </c>
      <c r="AK479" s="25">
        <f t="shared" si="267"/>
        <v>0</v>
      </c>
      <c r="AL479" s="25">
        <f t="shared" si="262"/>
        <v>0</v>
      </c>
      <c r="AM479" s="25">
        <f t="shared" si="263"/>
        <v>0</v>
      </c>
    </row>
    <row r="480" spans="1:39" ht="12.75" customHeight="1">
      <c r="A480" s="79" t="s">
        <v>327</v>
      </c>
      <c r="C480" s="1" t="s">
        <v>326</v>
      </c>
      <c r="D480" s="25"/>
      <c r="E480" s="25">
        <f>SUM(E481:E483)</f>
        <v>662063096</v>
      </c>
      <c r="F480" s="25"/>
      <c r="G480" s="25">
        <f>SUM(G481:G483)</f>
        <v>559521461</v>
      </c>
      <c r="H480" s="25">
        <f>SUM(H481:H483)</f>
        <v>675000000</v>
      </c>
      <c r="I480" s="25">
        <f>SUM(I481:I483)</f>
        <v>605000000</v>
      </c>
      <c r="J480" s="25">
        <f>SUM(J481:J483)</f>
        <v>436227040.88</v>
      </c>
      <c r="K480" s="25">
        <f>SUM(K481:K483)</f>
        <v>615650000</v>
      </c>
      <c r="L480" s="59">
        <f t="shared" si="252"/>
        <v>141.1306366423435</v>
      </c>
      <c r="M480" s="25">
        <f>SUM(M481:M483)</f>
        <v>740650000</v>
      </c>
      <c r="N480" s="25"/>
      <c r="O480" s="25">
        <f>SUM(O481:O483)</f>
        <v>710000000</v>
      </c>
      <c r="P480" s="25"/>
      <c r="Q480" s="59">
        <f t="shared" si="253"/>
        <v>162.75928208570434</v>
      </c>
      <c r="R480" s="59">
        <f>O480/M480*100</f>
        <v>95.86174306352528</v>
      </c>
      <c r="S480" s="25">
        <f>SUM(S481:S483)</f>
        <v>540000000</v>
      </c>
      <c r="T480" s="25"/>
      <c r="U480" s="59">
        <f>S480/M480*100</f>
        <v>72.90893134408965</v>
      </c>
      <c r="V480" s="59">
        <f>S480/O480*100</f>
        <v>76.05633802816901</v>
      </c>
      <c r="W480" s="25">
        <f>SUM(W481:W483)</f>
        <v>540000000</v>
      </c>
      <c r="X480" s="59">
        <f>W480/S480*100</f>
        <v>100</v>
      </c>
      <c r="Y480" s="25">
        <f>SUM(Y481:Y483)</f>
        <v>540000000</v>
      </c>
      <c r="Z480" s="59">
        <f>Y480/W480*100</f>
        <v>100</v>
      </c>
      <c r="AA480" s="25">
        <f>SUM(AA481:AA483)</f>
        <v>540000000</v>
      </c>
      <c r="AB480" s="59">
        <f>AA480/Y480*100</f>
        <v>100</v>
      </c>
      <c r="AC480" s="25"/>
      <c r="AD480" s="25"/>
      <c r="AE480" s="25">
        <f t="shared" si="260"/>
        <v>773238600</v>
      </c>
      <c r="AF480" s="25"/>
      <c r="AI480" s="25">
        <f>SUM(AI481:AI483)</f>
        <v>540000000</v>
      </c>
      <c r="AJ480" s="25">
        <f>SUM(AJ481:AJ483)</f>
        <v>540000000</v>
      </c>
      <c r="AK480" s="25">
        <f>SUM(AK481:AK483)</f>
        <v>540000000</v>
      </c>
      <c r="AL480" s="25">
        <f t="shared" si="262"/>
        <v>0</v>
      </c>
      <c r="AM480" s="25">
        <f t="shared" si="263"/>
        <v>0</v>
      </c>
    </row>
    <row r="481" spans="1:39" s="50" customFormat="1" ht="12.75" customHeight="1" hidden="1">
      <c r="A481" s="48" t="s">
        <v>329</v>
      </c>
      <c r="B481" s="49"/>
      <c r="C481" s="50" t="s">
        <v>330</v>
      </c>
      <c r="D481" s="51"/>
      <c r="E481" s="51">
        <v>3908646</v>
      </c>
      <c r="F481" s="51"/>
      <c r="G481" s="51">
        <f>G191</f>
        <v>3285423</v>
      </c>
      <c r="H481" s="51">
        <v>15000000</v>
      </c>
      <c r="I481" s="51">
        <v>15000000</v>
      </c>
      <c r="J481" s="51">
        <f aca="true" t="shared" si="268" ref="J481:K483">J191</f>
        <v>0</v>
      </c>
      <c r="K481" s="51">
        <f t="shared" si="268"/>
        <v>15000000</v>
      </c>
      <c r="L481" s="52"/>
      <c r="M481" s="51">
        <f>M191</f>
        <v>0</v>
      </c>
      <c r="N481" s="51"/>
      <c r="O481" s="51">
        <f>O191</f>
        <v>0</v>
      </c>
      <c r="P481" s="51"/>
      <c r="Q481" s="52"/>
      <c r="R481" s="52"/>
      <c r="S481" s="51"/>
      <c r="T481" s="51"/>
      <c r="U481" s="52"/>
      <c r="V481" s="52"/>
      <c r="W481" s="51">
        <f>W191</f>
        <v>0</v>
      </c>
      <c r="X481" s="52"/>
      <c r="Y481" s="51"/>
      <c r="Z481" s="52"/>
      <c r="AA481" s="51"/>
      <c r="AB481" s="52"/>
      <c r="AC481" s="51"/>
      <c r="AD481" s="51"/>
      <c r="AE481" s="31">
        <f t="shared" si="260"/>
        <v>0</v>
      </c>
      <c r="AF481" s="31"/>
      <c r="AI481" s="51"/>
      <c r="AJ481" s="51"/>
      <c r="AK481" s="51"/>
      <c r="AL481" s="51">
        <f t="shared" si="262"/>
        <v>0</v>
      </c>
      <c r="AM481" s="51">
        <f t="shared" si="263"/>
        <v>0</v>
      </c>
    </row>
    <row r="482" spans="1:39" s="50" customFormat="1" ht="11.25">
      <c r="A482" s="48" t="s">
        <v>331</v>
      </c>
      <c r="B482" s="49"/>
      <c r="C482" s="50" t="s">
        <v>332</v>
      </c>
      <c r="D482" s="51"/>
      <c r="E482" s="51">
        <v>414438593</v>
      </c>
      <c r="F482" s="51"/>
      <c r="G482" s="51">
        <f>G192</f>
        <v>340317174</v>
      </c>
      <c r="H482" s="51">
        <v>420000000</v>
      </c>
      <c r="I482" s="51">
        <v>350000000</v>
      </c>
      <c r="J482" s="51">
        <f t="shared" si="268"/>
        <v>217488120.69</v>
      </c>
      <c r="K482" s="51">
        <f t="shared" si="268"/>
        <v>360000000</v>
      </c>
      <c r="L482" s="52">
        <f>K482/J482*100</f>
        <v>165.52628201387213</v>
      </c>
      <c r="M482" s="51">
        <f>M192</f>
        <v>500000000</v>
      </c>
      <c r="N482" s="51"/>
      <c r="O482" s="51">
        <f>O192</f>
        <v>500000000</v>
      </c>
      <c r="P482" s="51"/>
      <c r="Q482" s="52">
        <f>O482/J482*100</f>
        <v>229.89761390815576</v>
      </c>
      <c r="R482" s="52">
        <f>O482/M482*100</f>
        <v>100</v>
      </c>
      <c r="S482" s="51">
        <f>S192</f>
        <v>330000000</v>
      </c>
      <c r="T482" s="51"/>
      <c r="U482" s="52">
        <f>S482/M482*100</f>
        <v>66</v>
      </c>
      <c r="V482" s="52">
        <f>S482/O482*100</f>
        <v>66</v>
      </c>
      <c r="W482" s="51">
        <f>W192</f>
        <v>330000000</v>
      </c>
      <c r="X482" s="52">
        <f>W482/S482*100</f>
        <v>100</v>
      </c>
      <c r="Y482" s="51">
        <f>Y192</f>
        <v>330000000</v>
      </c>
      <c r="Z482" s="52">
        <f>Y482/W482*100</f>
        <v>100</v>
      </c>
      <c r="AA482" s="51">
        <f>AA192</f>
        <v>330000000</v>
      </c>
      <c r="AB482" s="52">
        <f>AA482/Y482*100</f>
        <v>100</v>
      </c>
      <c r="AC482" s="51"/>
      <c r="AD482" s="51"/>
      <c r="AE482" s="31">
        <f t="shared" si="260"/>
        <v>522000000</v>
      </c>
      <c r="AF482" s="31"/>
      <c r="AI482" s="51">
        <f aca="true" t="shared" si="269" ref="AI482:AK483">AI192</f>
        <v>330000000</v>
      </c>
      <c r="AJ482" s="51">
        <f t="shared" si="269"/>
        <v>330000000</v>
      </c>
      <c r="AK482" s="51">
        <f t="shared" si="269"/>
        <v>330000000</v>
      </c>
      <c r="AL482" s="51">
        <f t="shared" si="262"/>
        <v>0</v>
      </c>
      <c r="AM482" s="51">
        <f t="shared" si="263"/>
        <v>0</v>
      </c>
    </row>
    <row r="483" spans="1:39" s="50" customFormat="1" ht="11.25">
      <c r="A483" s="48" t="s">
        <v>333</v>
      </c>
      <c r="B483" s="49"/>
      <c r="C483" s="50" t="s">
        <v>334</v>
      </c>
      <c r="D483" s="51"/>
      <c r="E483" s="51">
        <v>243715857</v>
      </c>
      <c r="F483" s="51"/>
      <c r="G483" s="51">
        <f>G193</f>
        <v>215918864</v>
      </c>
      <c r="H483" s="51">
        <v>240000000</v>
      </c>
      <c r="I483" s="51">
        <v>240000000</v>
      </c>
      <c r="J483" s="51">
        <f t="shared" si="268"/>
        <v>218738920.19</v>
      </c>
      <c r="K483" s="51">
        <f t="shared" si="268"/>
        <v>240650000</v>
      </c>
      <c r="L483" s="52">
        <f>K483/J483*100</f>
        <v>110.01700099413844</v>
      </c>
      <c r="M483" s="51">
        <f>M193</f>
        <v>240650000</v>
      </c>
      <c r="N483" s="51"/>
      <c r="O483" s="51">
        <f>O193</f>
        <v>210000000</v>
      </c>
      <c r="P483" s="51"/>
      <c r="Q483" s="52">
        <f>O483/J483*100</f>
        <v>96.00486270005848</v>
      </c>
      <c r="R483" s="52">
        <f>O483/M483*100</f>
        <v>87.26366091834615</v>
      </c>
      <c r="S483" s="51">
        <f>S193</f>
        <v>210000000</v>
      </c>
      <c r="T483" s="51"/>
      <c r="U483" s="52">
        <f>S483/M483*100</f>
        <v>87.26366091834615</v>
      </c>
      <c r="V483" s="52">
        <f>S483/O483*100</f>
        <v>100</v>
      </c>
      <c r="W483" s="51">
        <f>W193</f>
        <v>210000000</v>
      </c>
      <c r="X483" s="52">
        <f>W483/S483*100</f>
        <v>100</v>
      </c>
      <c r="Y483" s="51">
        <f>Y193</f>
        <v>210000000</v>
      </c>
      <c r="Z483" s="52">
        <f>Y483/W483*100</f>
        <v>100</v>
      </c>
      <c r="AA483" s="51">
        <f>AA193</f>
        <v>210000000</v>
      </c>
      <c r="AB483" s="52">
        <f>AA483/Y483*100</f>
        <v>100</v>
      </c>
      <c r="AC483" s="51"/>
      <c r="AD483" s="51"/>
      <c r="AE483" s="31">
        <f t="shared" si="260"/>
        <v>251238600</v>
      </c>
      <c r="AF483" s="31"/>
      <c r="AI483" s="51">
        <f t="shared" si="269"/>
        <v>210000000</v>
      </c>
      <c r="AJ483" s="51">
        <f t="shared" si="269"/>
        <v>210000000</v>
      </c>
      <c r="AK483" s="51">
        <f t="shared" si="269"/>
        <v>210000000</v>
      </c>
      <c r="AL483" s="51">
        <f t="shared" si="262"/>
        <v>0</v>
      </c>
      <c r="AM483" s="51">
        <f t="shared" si="263"/>
        <v>0</v>
      </c>
    </row>
    <row r="484" spans="1:39" ht="12.75" customHeight="1">
      <c r="A484" s="79" t="s">
        <v>363</v>
      </c>
      <c r="C484" s="1" t="s">
        <v>624</v>
      </c>
      <c r="D484" s="25">
        <v>335000000</v>
      </c>
      <c r="E484" s="25"/>
      <c r="F484" s="25">
        <v>270000000</v>
      </c>
      <c r="G484" s="25">
        <f>G213</f>
        <v>0</v>
      </c>
      <c r="H484" s="25"/>
      <c r="I484" s="25"/>
      <c r="J484" s="25">
        <f aca="true" t="shared" si="270" ref="J484:K486">J213</f>
        <v>0</v>
      </c>
      <c r="K484" s="25">
        <f t="shared" si="270"/>
        <v>40000000</v>
      </c>
      <c r="L484" s="25"/>
      <c r="M484" s="25">
        <f>M213</f>
        <v>40000000</v>
      </c>
      <c r="N484" s="25"/>
      <c r="O484" s="25">
        <f>O213</f>
        <v>5000000</v>
      </c>
      <c r="P484" s="25"/>
      <c r="Q484" s="25"/>
      <c r="R484" s="59">
        <f>O484/M484*100</f>
        <v>12.5</v>
      </c>
      <c r="S484" s="25">
        <f>S213</f>
        <v>34000000</v>
      </c>
      <c r="T484" s="25"/>
      <c r="U484" s="25">
        <f>S484/M484*100</f>
        <v>85</v>
      </c>
      <c r="V484" s="25">
        <f>S484/O484*100</f>
        <v>680</v>
      </c>
      <c r="W484" s="25">
        <f>W213</f>
        <v>30000000</v>
      </c>
      <c r="X484" s="25"/>
      <c r="Y484" s="25">
        <f>Y213</f>
        <v>34000000</v>
      </c>
      <c r="Z484" s="25">
        <f>Y484/W484*100</f>
        <v>113.33333333333333</v>
      </c>
      <c r="AA484" s="25">
        <f>AA213</f>
        <v>34000000</v>
      </c>
      <c r="AB484" s="25">
        <f>AA484/Y484*100</f>
        <v>100</v>
      </c>
      <c r="AC484" s="25"/>
      <c r="AD484" s="25"/>
      <c r="AE484" s="25">
        <f t="shared" si="260"/>
        <v>41760000</v>
      </c>
      <c r="AF484" s="25"/>
      <c r="AI484" s="25">
        <f aca="true" t="shared" si="271" ref="AI484:AK486">AI213</f>
        <v>34000000</v>
      </c>
      <c r="AJ484" s="25">
        <f t="shared" si="271"/>
        <v>34000000</v>
      </c>
      <c r="AK484" s="25">
        <f t="shared" si="271"/>
        <v>34000000</v>
      </c>
      <c r="AL484" s="25">
        <f t="shared" si="262"/>
        <v>0</v>
      </c>
      <c r="AM484" s="25">
        <f t="shared" si="263"/>
        <v>0</v>
      </c>
    </row>
    <row r="485" spans="1:39" ht="12.75" customHeight="1">
      <c r="A485" s="79" t="s">
        <v>365</v>
      </c>
      <c r="C485" s="1" t="s">
        <v>366</v>
      </c>
      <c r="D485" s="25">
        <v>74164000</v>
      </c>
      <c r="E485" s="25">
        <f>319317154+31111372</f>
        <v>350428526</v>
      </c>
      <c r="F485" s="25"/>
      <c r="G485" s="25">
        <f>G214</f>
        <v>321430792</v>
      </c>
      <c r="H485" s="25">
        <v>259890000</v>
      </c>
      <c r="I485" s="25">
        <v>260000000</v>
      </c>
      <c r="J485" s="25">
        <f t="shared" si="270"/>
        <v>305849748.6</v>
      </c>
      <c r="K485" s="25">
        <f t="shared" si="270"/>
        <v>280000000</v>
      </c>
      <c r="L485" s="59">
        <f>K485/J485*100</f>
        <v>91.5482197653178</v>
      </c>
      <c r="M485" s="25">
        <f>M214</f>
        <v>280000000</v>
      </c>
      <c r="N485" s="25"/>
      <c r="O485" s="25">
        <f>O214</f>
        <v>300000000</v>
      </c>
      <c r="P485" s="25"/>
      <c r="Q485" s="59">
        <f>O485/J485*100</f>
        <v>98.08737831998336</v>
      </c>
      <c r="R485" s="59">
        <f>O485/M485*100</f>
        <v>107.14285714285714</v>
      </c>
      <c r="S485" s="25">
        <f>S214</f>
        <v>323174000</v>
      </c>
      <c r="T485" s="25"/>
      <c r="U485" s="59">
        <f>S485/M485*100</f>
        <v>115.41928571428572</v>
      </c>
      <c r="V485" s="59">
        <f>S485/O485*100</f>
        <v>107.72466666666666</v>
      </c>
      <c r="W485" s="25">
        <f>W214</f>
        <v>299000000</v>
      </c>
      <c r="X485" s="59">
        <f>W485/S485*100</f>
        <v>92.5198190448489</v>
      </c>
      <c r="Y485" s="25">
        <f>Y214</f>
        <v>300000000</v>
      </c>
      <c r="Z485" s="59">
        <f>Y485/W485*100</f>
        <v>100.33444816053512</v>
      </c>
      <c r="AA485" s="25">
        <f>AA214</f>
        <v>300000000</v>
      </c>
      <c r="AB485" s="59">
        <f>AA485/Y485*100</f>
        <v>100</v>
      </c>
      <c r="AC485" s="25"/>
      <c r="AD485" s="25"/>
      <c r="AE485" s="25">
        <f t="shared" si="260"/>
        <v>292320000</v>
      </c>
      <c r="AF485" s="25"/>
      <c r="AI485" s="25">
        <f t="shared" si="271"/>
        <v>380174000</v>
      </c>
      <c r="AJ485" s="25">
        <f t="shared" si="271"/>
        <v>380174000</v>
      </c>
      <c r="AK485" s="25">
        <f t="shared" si="271"/>
        <v>323174000</v>
      </c>
      <c r="AL485" s="25">
        <f t="shared" si="262"/>
        <v>0</v>
      </c>
      <c r="AM485" s="25">
        <f t="shared" si="263"/>
        <v>-57000000</v>
      </c>
    </row>
    <row r="486" spans="1:39" ht="12.75" customHeight="1">
      <c r="A486" s="79" t="s">
        <v>367</v>
      </c>
      <c r="C486" s="1" t="s">
        <v>625</v>
      </c>
      <c r="D486" s="25">
        <v>16380000</v>
      </c>
      <c r="E486" s="25">
        <v>1383537</v>
      </c>
      <c r="F486" s="25">
        <v>18000000</v>
      </c>
      <c r="G486" s="25">
        <f>G215</f>
        <v>2130128</v>
      </c>
      <c r="H486" s="25">
        <v>18000000</v>
      </c>
      <c r="I486" s="25">
        <v>18000000</v>
      </c>
      <c r="J486" s="25">
        <f t="shared" si="270"/>
        <v>1484579</v>
      </c>
      <c r="K486" s="25">
        <f t="shared" si="270"/>
        <v>18000000</v>
      </c>
      <c r="L486" s="59">
        <f>K486/J486*100</f>
        <v>1212.46494797515</v>
      </c>
      <c r="M486" s="25">
        <f>M215</f>
        <v>18000000</v>
      </c>
      <c r="N486" s="25"/>
      <c r="O486" s="25">
        <f>O215</f>
        <v>0</v>
      </c>
      <c r="P486" s="25"/>
      <c r="Q486" s="59">
        <f>O486/J486*100</f>
        <v>0</v>
      </c>
      <c r="R486" s="59">
        <f>O486/M486*100</f>
        <v>0</v>
      </c>
      <c r="S486" s="25">
        <f>S215</f>
        <v>10600000</v>
      </c>
      <c r="T486" s="25"/>
      <c r="U486" s="59">
        <f>S486/M486*100</f>
        <v>58.88888888888889</v>
      </c>
      <c r="V486" s="59"/>
      <c r="W486" s="25">
        <f>W215</f>
        <v>0</v>
      </c>
      <c r="X486" s="59"/>
      <c r="Y486" s="25">
        <f>Y215</f>
        <v>0</v>
      </c>
      <c r="Z486" s="59"/>
      <c r="AA486" s="25">
        <f>AA215</f>
        <v>0</v>
      </c>
      <c r="AB486" s="59"/>
      <c r="AC486" s="25"/>
      <c r="AD486" s="25"/>
      <c r="AE486" s="25">
        <f t="shared" si="260"/>
        <v>18792000</v>
      </c>
      <c r="AF486" s="25"/>
      <c r="AI486" s="25">
        <f t="shared" si="271"/>
        <v>10600000</v>
      </c>
      <c r="AJ486" s="25">
        <f t="shared" si="271"/>
        <v>10600000</v>
      </c>
      <c r="AK486" s="25">
        <f t="shared" si="271"/>
        <v>10600000</v>
      </c>
      <c r="AL486" s="25">
        <f t="shared" si="262"/>
        <v>0</v>
      </c>
      <c r="AM486" s="25">
        <f t="shared" si="263"/>
        <v>0</v>
      </c>
    </row>
    <row r="487" spans="1:39" ht="12.75" customHeight="1">
      <c r="A487" s="79" t="s">
        <v>369</v>
      </c>
      <c r="C487" s="1" t="s">
        <v>626</v>
      </c>
      <c r="D487" s="25"/>
      <c r="E487" s="25"/>
      <c r="F487" s="25"/>
      <c r="G487" s="25"/>
      <c r="H487" s="25"/>
      <c r="I487" s="25"/>
      <c r="J487" s="25"/>
      <c r="K487" s="25"/>
      <c r="L487" s="59"/>
      <c r="M487" s="25"/>
      <c r="N487" s="26"/>
      <c r="O487" s="25"/>
      <c r="P487" s="25"/>
      <c r="Q487" s="59"/>
      <c r="R487" s="59"/>
      <c r="S487" s="25">
        <f>S216</f>
        <v>40000000</v>
      </c>
      <c r="T487" s="26"/>
      <c r="U487" s="59"/>
      <c r="V487" s="59"/>
      <c r="W487" s="25"/>
      <c r="X487" s="59"/>
      <c r="Y487" s="25"/>
      <c r="Z487" s="59"/>
      <c r="AA487" s="25"/>
      <c r="AB487" s="59"/>
      <c r="AC487" s="25"/>
      <c r="AD487" s="25"/>
      <c r="AE487" s="25"/>
      <c r="AF487" s="25"/>
      <c r="AI487" s="25"/>
      <c r="AJ487" s="25"/>
      <c r="AK487" s="25">
        <f>AK216</f>
        <v>40000000</v>
      </c>
      <c r="AL487" s="25"/>
      <c r="AM487" s="25">
        <f aca="true" t="shared" si="272" ref="AM487:AM506">AK487-AJ487</f>
        <v>40000000</v>
      </c>
    </row>
    <row r="488" spans="1:39" ht="12.75" customHeight="1" hidden="1">
      <c r="A488" s="79" t="s">
        <v>372</v>
      </c>
      <c r="C488" s="1" t="s">
        <v>373</v>
      </c>
      <c r="D488" s="25">
        <v>335000000</v>
      </c>
      <c r="E488" s="25"/>
      <c r="F488" s="25">
        <v>270000000</v>
      </c>
      <c r="G488" s="25">
        <f>G218</f>
        <v>0</v>
      </c>
      <c r="H488" s="25"/>
      <c r="I488" s="25"/>
      <c r="J488" s="25">
        <f>J218</f>
        <v>0</v>
      </c>
      <c r="K488" s="25">
        <f>K218</f>
        <v>0</v>
      </c>
      <c r="L488" s="25"/>
      <c r="M488" s="25">
        <f>M218</f>
        <v>0</v>
      </c>
      <c r="N488" s="25"/>
      <c r="O488" s="25">
        <f>O218</f>
        <v>30000</v>
      </c>
      <c r="P488" s="25"/>
      <c r="Q488" s="25"/>
      <c r="R488" s="25"/>
      <c r="S488" s="25">
        <f>S218</f>
        <v>0</v>
      </c>
      <c r="T488" s="25"/>
      <c r="U488" s="25"/>
      <c r="V488" s="59"/>
      <c r="W488" s="25">
        <f>W218</f>
        <v>0</v>
      </c>
      <c r="X488" s="59"/>
      <c r="Y488" s="25">
        <f>Y218</f>
        <v>0</v>
      </c>
      <c r="Z488" s="59"/>
      <c r="AA488" s="25">
        <f>AA218</f>
        <v>0</v>
      </c>
      <c r="AB488" s="59"/>
      <c r="AC488" s="25"/>
      <c r="AD488" s="25"/>
      <c r="AE488" s="25">
        <f>M488*1.044</f>
        <v>0</v>
      </c>
      <c r="AF488" s="25"/>
      <c r="AI488" s="25">
        <f>AI218</f>
        <v>0</v>
      </c>
      <c r="AJ488" s="25">
        <f>AJ218</f>
        <v>0</v>
      </c>
      <c r="AK488" s="25">
        <f>AK218</f>
        <v>0</v>
      </c>
      <c r="AL488" s="25">
        <f aca="true" t="shared" si="273" ref="AL488:AL506">AJ488-AI488</f>
        <v>0</v>
      </c>
      <c r="AM488" s="25">
        <f t="shared" si="272"/>
        <v>0</v>
      </c>
    </row>
    <row r="489" spans="1:39" ht="12.75" customHeight="1" hidden="1">
      <c r="A489" s="79">
        <v>720299</v>
      </c>
      <c r="C489" s="1" t="s">
        <v>375</v>
      </c>
      <c r="D489" s="25"/>
      <c r="E489" s="25"/>
      <c r="F489" s="25"/>
      <c r="G489" s="25">
        <f>G220</f>
        <v>0</v>
      </c>
      <c r="H489" s="25"/>
      <c r="I489" s="25"/>
      <c r="J489" s="25">
        <f>J220</f>
        <v>0</v>
      </c>
      <c r="K489" s="25">
        <f>K220</f>
        <v>0</v>
      </c>
      <c r="L489" s="25"/>
      <c r="M489" s="25">
        <f>M220</f>
        <v>0</v>
      </c>
      <c r="N489" s="25"/>
      <c r="O489" s="25">
        <f>O220</f>
        <v>100000</v>
      </c>
      <c r="P489" s="25"/>
      <c r="Q489" s="25"/>
      <c r="R489" s="25"/>
      <c r="S489" s="25">
        <f>S220</f>
        <v>0</v>
      </c>
      <c r="T489" s="25"/>
      <c r="U489" s="25"/>
      <c r="V489" s="59"/>
      <c r="W489" s="25">
        <f>W220</f>
        <v>0</v>
      </c>
      <c r="X489" s="59"/>
      <c r="Y489" s="25">
        <f>Y220</f>
        <v>0</v>
      </c>
      <c r="Z489" s="59"/>
      <c r="AA489" s="25">
        <f>AA220</f>
        <v>0</v>
      </c>
      <c r="AB489" s="59"/>
      <c r="AC489" s="25"/>
      <c r="AD489" s="25"/>
      <c r="AE489" s="25">
        <f>M489*1.044</f>
        <v>0</v>
      </c>
      <c r="AF489" s="25"/>
      <c r="AI489" s="25">
        <f>AI220</f>
        <v>0</v>
      </c>
      <c r="AJ489" s="25">
        <f>AJ220</f>
        <v>0</v>
      </c>
      <c r="AK489" s="25">
        <f>AK220</f>
        <v>0</v>
      </c>
      <c r="AL489" s="25">
        <f t="shared" si="273"/>
        <v>0</v>
      </c>
      <c r="AM489" s="25">
        <f t="shared" si="272"/>
        <v>0</v>
      </c>
    </row>
    <row r="490" spans="1:39" ht="12.75" customHeight="1">
      <c r="A490" s="79" t="s">
        <v>378</v>
      </c>
      <c r="C490" s="1" t="s">
        <v>377</v>
      </c>
      <c r="D490" s="25">
        <f>SUM(D491:D494)</f>
        <v>42000000</v>
      </c>
      <c r="E490" s="25">
        <f>SUM(E491:E494)</f>
        <v>911276684.74</v>
      </c>
      <c r="F490" s="25">
        <v>150000000</v>
      </c>
      <c r="G490" s="25">
        <f>SUM(G491:G492)</f>
        <v>1054014550.81</v>
      </c>
      <c r="H490" s="25">
        <f>SUM(H491:H494)</f>
        <v>712333000</v>
      </c>
      <c r="I490" s="25">
        <f>SUM(I491:I494)</f>
        <v>772000000</v>
      </c>
      <c r="J490" s="25">
        <f>SUM(J491:J492)</f>
        <v>750076680.06</v>
      </c>
      <c r="K490" s="25">
        <f>SUM(K491:K492)</f>
        <v>414000000</v>
      </c>
      <c r="L490" s="59">
        <f>K490/J490*100</f>
        <v>55.19435692453249</v>
      </c>
      <c r="M490" s="25">
        <f>SUM(M491:M492)</f>
        <v>479000000</v>
      </c>
      <c r="N490" s="25"/>
      <c r="O490" s="25">
        <f>SUM(O491:O492)</f>
        <v>200000000</v>
      </c>
      <c r="P490" s="25"/>
      <c r="Q490" s="59">
        <f>O490/J490*100</f>
        <v>26.663940543252412</v>
      </c>
      <c r="R490" s="59">
        <f>O490/M490*100</f>
        <v>41.75365344467641</v>
      </c>
      <c r="S490" s="25">
        <f>SUM(S491:S493)</f>
        <v>840000000</v>
      </c>
      <c r="T490" s="25"/>
      <c r="U490" s="59">
        <f>S490/M490*100</f>
        <v>175.3653444676409</v>
      </c>
      <c r="V490" s="59">
        <f>S490/O490*100</f>
        <v>420</v>
      </c>
      <c r="W490" s="25">
        <f>SUM(W491:W493)</f>
        <v>280000000</v>
      </c>
      <c r="X490" s="59">
        <f>W490/S490*100</f>
        <v>33.33333333333333</v>
      </c>
      <c r="Y490" s="25">
        <f>SUM(Y491:Y493)</f>
        <v>260000000</v>
      </c>
      <c r="Z490" s="59">
        <f>Y490/W490*100</f>
        <v>92.85714285714286</v>
      </c>
      <c r="AA490" s="25">
        <f>SUM(AA491:AA493)</f>
        <v>250000000</v>
      </c>
      <c r="AB490" s="59">
        <f>AA490/Y490*100</f>
        <v>96.15384615384616</v>
      </c>
      <c r="AC490" s="25"/>
      <c r="AD490" s="25"/>
      <c r="AE490" s="25">
        <f>M490*1.044</f>
        <v>500076000</v>
      </c>
      <c r="AF490" s="25"/>
      <c r="AI490" s="25">
        <f>SUM(AI491:AI493)</f>
        <v>490000000</v>
      </c>
      <c r="AJ490" s="25">
        <f>SUM(AJ491:AJ493)</f>
        <v>840000000</v>
      </c>
      <c r="AK490" s="25">
        <f>SUM(AK491:AK493)</f>
        <v>840000000</v>
      </c>
      <c r="AL490" s="25">
        <f t="shared" si="273"/>
        <v>350000000</v>
      </c>
      <c r="AM490" s="25">
        <f t="shared" si="272"/>
        <v>0</v>
      </c>
    </row>
    <row r="491" spans="1:39" s="50" customFormat="1" ht="12.75" customHeight="1">
      <c r="A491" s="48" t="s">
        <v>379</v>
      </c>
      <c r="B491" s="49"/>
      <c r="C491" s="50" t="s">
        <v>380</v>
      </c>
      <c r="D491" s="51"/>
      <c r="E491" s="51">
        <v>177000655.06</v>
      </c>
      <c r="F491" s="51"/>
      <c r="G491" s="51">
        <f>G225</f>
        <v>165150667.38</v>
      </c>
      <c r="H491" s="51">
        <v>200000000</v>
      </c>
      <c r="I491" s="51">
        <v>370000000</v>
      </c>
      <c r="J491" s="51">
        <f aca="true" t="shared" si="274" ref="J491:K493">J225</f>
        <v>338147162.8</v>
      </c>
      <c r="K491" s="51">
        <f t="shared" si="274"/>
        <v>414000000</v>
      </c>
      <c r="L491" s="52">
        <f>K491/J491*100</f>
        <v>122.43190112018291</v>
      </c>
      <c r="M491" s="51">
        <f>M225</f>
        <v>479000000</v>
      </c>
      <c r="N491" s="51"/>
      <c r="O491" s="51">
        <f>O225</f>
        <v>200000000</v>
      </c>
      <c r="P491" s="51"/>
      <c r="Q491" s="52">
        <f>O491/J491*100</f>
        <v>59.145845951779194</v>
      </c>
      <c r="R491" s="52">
        <f>O491/M491*100</f>
        <v>41.75365344467641</v>
      </c>
      <c r="S491" s="51">
        <f>S225</f>
        <v>350000000</v>
      </c>
      <c r="T491" s="51"/>
      <c r="U491" s="52">
        <f>S491/M491*100</f>
        <v>73.06889352818372</v>
      </c>
      <c r="V491" s="52">
        <f>S491/O491*100</f>
        <v>175</v>
      </c>
      <c r="W491" s="51">
        <f>W225</f>
        <v>280000000</v>
      </c>
      <c r="X491" s="52">
        <f>W491/S491*100</f>
        <v>80</v>
      </c>
      <c r="Y491" s="51">
        <f>Y225</f>
        <v>260000000</v>
      </c>
      <c r="Z491" s="52">
        <f>Y491/W491*100</f>
        <v>92.85714285714286</v>
      </c>
      <c r="AA491" s="51">
        <f>AA225</f>
        <v>250000000</v>
      </c>
      <c r="AB491" s="52">
        <f>AA491/Y491*100</f>
        <v>96.15384615384616</v>
      </c>
      <c r="AC491" s="51"/>
      <c r="AD491" s="51"/>
      <c r="AE491" s="31">
        <f>M491*1.044</f>
        <v>500076000</v>
      </c>
      <c r="AF491" s="31"/>
      <c r="AI491" s="51">
        <f aca="true" t="shared" si="275" ref="AI491:AK493">AI225</f>
        <v>350000000</v>
      </c>
      <c r="AJ491" s="51">
        <f t="shared" si="275"/>
        <v>350000000</v>
      </c>
      <c r="AK491" s="51">
        <f t="shared" si="275"/>
        <v>350000000</v>
      </c>
      <c r="AL491" s="51">
        <f t="shared" si="273"/>
        <v>0</v>
      </c>
      <c r="AM491" s="51">
        <f t="shared" si="272"/>
        <v>0</v>
      </c>
    </row>
    <row r="492" spans="1:39" s="50" customFormat="1" ht="11.25">
      <c r="A492" s="48" t="s">
        <v>381</v>
      </c>
      <c r="B492" s="49"/>
      <c r="C492" s="50" t="s">
        <v>382</v>
      </c>
      <c r="D492" s="51"/>
      <c r="E492" s="51">
        <v>706428293.68</v>
      </c>
      <c r="F492" s="51"/>
      <c r="G492" s="51">
        <f>G226</f>
        <v>888863883.43</v>
      </c>
      <c r="H492" s="51">
        <v>402000000</v>
      </c>
      <c r="I492" s="51">
        <v>402000000</v>
      </c>
      <c r="J492" s="51">
        <f t="shared" si="274"/>
        <v>411929517.26</v>
      </c>
      <c r="K492" s="51">
        <f t="shared" si="274"/>
        <v>0</v>
      </c>
      <c r="L492" s="51">
        <f>K492/J492*100</f>
        <v>0</v>
      </c>
      <c r="M492" s="51">
        <f>M226</f>
        <v>0</v>
      </c>
      <c r="N492" s="51"/>
      <c r="O492" s="51">
        <f>O226</f>
        <v>0</v>
      </c>
      <c r="P492" s="51"/>
      <c r="Q492" s="51">
        <f>O492/J492*100</f>
        <v>0</v>
      </c>
      <c r="R492" s="51"/>
      <c r="S492" s="51">
        <f>S226</f>
        <v>350000000</v>
      </c>
      <c r="T492" s="51"/>
      <c r="U492" s="51"/>
      <c r="V492" s="51"/>
      <c r="W492" s="51">
        <f>W226</f>
        <v>0</v>
      </c>
      <c r="X492" s="51"/>
      <c r="Y492" s="51">
        <f>Y226</f>
        <v>0</v>
      </c>
      <c r="Z492" s="51"/>
      <c r="AA492" s="51">
        <f>AA226</f>
        <v>0</v>
      </c>
      <c r="AB492" s="51"/>
      <c r="AC492" s="51"/>
      <c r="AD492" s="51"/>
      <c r="AE492" s="31">
        <f>M492*1.044</f>
        <v>0</v>
      </c>
      <c r="AF492" s="31"/>
      <c r="AI492" s="51">
        <f t="shared" si="275"/>
        <v>0</v>
      </c>
      <c r="AJ492" s="51">
        <f t="shared" si="275"/>
        <v>350000000</v>
      </c>
      <c r="AK492" s="51">
        <f t="shared" si="275"/>
        <v>350000000</v>
      </c>
      <c r="AL492" s="51">
        <f t="shared" si="273"/>
        <v>350000000</v>
      </c>
      <c r="AM492" s="51">
        <f t="shared" si="272"/>
        <v>0</v>
      </c>
    </row>
    <row r="493" spans="1:39" s="50" customFormat="1" ht="11.25">
      <c r="A493" s="48" t="s">
        <v>383</v>
      </c>
      <c r="B493" s="49"/>
      <c r="C493" s="50" t="s">
        <v>384</v>
      </c>
      <c r="D493" s="51">
        <f>15000000+27000000</f>
        <v>42000000</v>
      </c>
      <c r="E493" s="51">
        <f>27847736</f>
        <v>27847736</v>
      </c>
      <c r="F493" s="51"/>
      <c r="G493" s="51">
        <f>G227</f>
        <v>0</v>
      </c>
      <c r="H493" s="51"/>
      <c r="I493" s="51"/>
      <c r="J493" s="51">
        <f t="shared" si="274"/>
        <v>0</v>
      </c>
      <c r="K493" s="51">
        <f t="shared" si="274"/>
        <v>0</v>
      </c>
      <c r="L493" s="51"/>
      <c r="M493" s="51">
        <f>M227</f>
        <v>0</v>
      </c>
      <c r="N493" s="51"/>
      <c r="O493" s="51">
        <f>O227</f>
        <v>0</v>
      </c>
      <c r="P493" s="51"/>
      <c r="Q493" s="51"/>
      <c r="R493" s="51"/>
      <c r="S493" s="51">
        <f>S227</f>
        <v>140000000</v>
      </c>
      <c r="T493" s="51"/>
      <c r="U493" s="51"/>
      <c r="V493" s="51"/>
      <c r="W493" s="51">
        <f>W227</f>
        <v>0</v>
      </c>
      <c r="X493" s="51"/>
      <c r="Y493" s="51">
        <f>Y227</f>
        <v>0</v>
      </c>
      <c r="Z493" s="51"/>
      <c r="AA493" s="51">
        <f>AA227</f>
        <v>0</v>
      </c>
      <c r="AB493" s="51"/>
      <c r="AC493" s="51"/>
      <c r="AD493" s="51"/>
      <c r="AE493" s="31">
        <f>M493*1.057</f>
        <v>0</v>
      </c>
      <c r="AF493" s="31">
        <f>S493*1.045</f>
        <v>146300000</v>
      </c>
      <c r="AI493" s="51">
        <f t="shared" si="275"/>
        <v>140000000</v>
      </c>
      <c r="AJ493" s="51">
        <f t="shared" si="275"/>
        <v>140000000</v>
      </c>
      <c r="AK493" s="51">
        <f t="shared" si="275"/>
        <v>140000000</v>
      </c>
      <c r="AL493" s="51">
        <f t="shared" si="273"/>
        <v>0</v>
      </c>
      <c r="AM493" s="51">
        <f t="shared" si="272"/>
        <v>0</v>
      </c>
    </row>
    <row r="494" spans="1:39" ht="12.75" customHeight="1" hidden="1">
      <c r="A494" s="79" t="s">
        <v>388</v>
      </c>
      <c r="C494" s="1" t="s">
        <v>389</v>
      </c>
      <c r="D494" s="25"/>
      <c r="E494" s="25"/>
      <c r="F494" s="25"/>
      <c r="G494" s="25">
        <f>G233</f>
        <v>0</v>
      </c>
      <c r="H494" s="25">
        <f>SUM(H495:H495)</f>
        <v>110333000</v>
      </c>
      <c r="I494" s="25"/>
      <c r="J494" s="25">
        <f>J233</f>
        <v>0</v>
      </c>
      <c r="K494" s="25">
        <f>K233</f>
        <v>30843000</v>
      </c>
      <c r="L494" s="59"/>
      <c r="M494" s="25">
        <f>M233</f>
        <v>30843000</v>
      </c>
      <c r="N494" s="25"/>
      <c r="O494" s="25">
        <f>O233</f>
        <v>13000000</v>
      </c>
      <c r="P494" s="25"/>
      <c r="Q494" s="59"/>
      <c r="R494" s="59">
        <f aca="true" t="shared" si="276" ref="R494:R499">O494/M494*100</f>
        <v>42.148947897415944</v>
      </c>
      <c r="S494" s="25">
        <f>S233</f>
        <v>0</v>
      </c>
      <c r="T494" s="25"/>
      <c r="U494" s="59"/>
      <c r="V494" s="59"/>
      <c r="W494" s="25">
        <f>W233</f>
        <v>0</v>
      </c>
      <c r="X494" s="59"/>
      <c r="Y494" s="25">
        <f>Y233</f>
        <v>0</v>
      </c>
      <c r="Z494" s="59"/>
      <c r="AA494" s="25">
        <f>AA233</f>
        <v>0</v>
      </c>
      <c r="AB494" s="59"/>
      <c r="AC494" s="25"/>
      <c r="AD494" s="25"/>
      <c r="AE494" s="25">
        <f aca="true" t="shared" si="277" ref="AE494:AE506">M494*1.044</f>
        <v>32200092</v>
      </c>
      <c r="AF494" s="25"/>
      <c r="AI494" s="25">
        <f>AI233</f>
        <v>0</v>
      </c>
      <c r="AJ494" s="25">
        <f>AJ233</f>
        <v>0</v>
      </c>
      <c r="AK494" s="25">
        <f>AK233</f>
        <v>0</v>
      </c>
      <c r="AL494" s="25">
        <f t="shared" si="273"/>
        <v>0</v>
      </c>
      <c r="AM494" s="25">
        <f t="shared" si="272"/>
        <v>0</v>
      </c>
    </row>
    <row r="495" spans="1:39" ht="12.75" customHeight="1">
      <c r="A495" s="79" t="s">
        <v>400</v>
      </c>
      <c r="C495" s="1" t="s">
        <v>401</v>
      </c>
      <c r="D495" s="25"/>
      <c r="E495" s="25">
        <f>SUM(E496:E506)</f>
        <v>150173946</v>
      </c>
      <c r="F495" s="25"/>
      <c r="G495" s="25">
        <f>SUM(G496:G506)</f>
        <v>235061842.75</v>
      </c>
      <c r="H495" s="25">
        <f>SUM(H496:H506)</f>
        <v>110333000</v>
      </c>
      <c r="I495" s="25">
        <f>SUM(I496:I506)</f>
        <v>198182000</v>
      </c>
      <c r="J495" s="25">
        <f>SUM(J496:J506)</f>
        <v>77737443</v>
      </c>
      <c r="K495" s="25">
        <f>SUM(K496:K506)</f>
        <v>210215000</v>
      </c>
      <c r="L495" s="59">
        <f>K495/J495*100</f>
        <v>270.416663949186</v>
      </c>
      <c r="M495" s="25">
        <f>SUM(M496:M506)</f>
        <v>243771000</v>
      </c>
      <c r="N495" s="25"/>
      <c r="O495" s="25">
        <f>SUM(O496:O506)</f>
        <v>264791000</v>
      </c>
      <c r="P495" s="25"/>
      <c r="Q495" s="59">
        <f>O495/J495*100</f>
        <v>340.6222147028942</v>
      </c>
      <c r="R495" s="59">
        <f t="shared" si="276"/>
        <v>108.62284685216864</v>
      </c>
      <c r="S495" s="25">
        <f>SUM(S496:S506)</f>
        <v>74817400</v>
      </c>
      <c r="T495" s="25"/>
      <c r="U495" s="59">
        <f>S495/M495*100</f>
        <v>30.69167374298009</v>
      </c>
      <c r="V495" s="59">
        <f>S495/O495*100</f>
        <v>28.255265473524403</v>
      </c>
      <c r="W495" s="25">
        <f>SUM(W496:W506)</f>
        <v>67152700</v>
      </c>
      <c r="X495" s="59">
        <f>W495/S495*100</f>
        <v>89.7554579549677</v>
      </c>
      <c r="Y495" s="25">
        <f>SUM(Y496:Y506)</f>
        <v>14000000</v>
      </c>
      <c r="Z495" s="59">
        <f>Y495/W495*100</f>
        <v>20.848007600587913</v>
      </c>
      <c r="AA495" s="25">
        <f>SUM(AA496:AA506)</f>
        <v>14000000</v>
      </c>
      <c r="AB495" s="59">
        <f>AA495/Y495*100</f>
        <v>100</v>
      </c>
      <c r="AC495" s="25"/>
      <c r="AD495" s="25"/>
      <c r="AE495" s="25">
        <f t="shared" si="277"/>
        <v>254496924</v>
      </c>
      <c r="AF495" s="25"/>
      <c r="AI495" s="25">
        <f>SUM(AI496:AI506)</f>
        <v>24000000</v>
      </c>
      <c r="AJ495" s="25">
        <f>SUM(AJ496:AJ506)</f>
        <v>37362200</v>
      </c>
      <c r="AK495" s="25">
        <f>SUM(AK496:AK506)</f>
        <v>74817400</v>
      </c>
      <c r="AL495" s="25">
        <f t="shared" si="273"/>
        <v>13362200</v>
      </c>
      <c r="AM495" s="25">
        <f t="shared" si="272"/>
        <v>37455200</v>
      </c>
    </row>
    <row r="496" spans="1:39" s="50" customFormat="1" ht="12.75" customHeight="1" hidden="1">
      <c r="A496" s="48" t="s">
        <v>402</v>
      </c>
      <c r="B496" s="49"/>
      <c r="C496" s="50" t="s">
        <v>403</v>
      </c>
      <c r="D496" s="51"/>
      <c r="E496" s="51">
        <v>35000000</v>
      </c>
      <c r="F496" s="51"/>
      <c r="G496" s="51">
        <f aca="true" t="shared" si="278" ref="G496:G506">G244</f>
        <v>30000000</v>
      </c>
      <c r="H496" s="51">
        <v>30000000</v>
      </c>
      <c r="I496" s="51">
        <v>30000000</v>
      </c>
      <c r="J496" s="51">
        <f aca="true" t="shared" si="279" ref="J496:K506">J244</f>
        <v>2500000</v>
      </c>
      <c r="K496" s="51">
        <f t="shared" si="279"/>
        <v>20000000</v>
      </c>
      <c r="L496" s="52">
        <f>K496/J496*100</f>
        <v>800</v>
      </c>
      <c r="M496" s="51">
        <f>M244</f>
        <v>10000000</v>
      </c>
      <c r="N496" s="51"/>
      <c r="O496" s="51">
        <f aca="true" t="shared" si="280" ref="O496:O506">O244</f>
        <v>30000000</v>
      </c>
      <c r="P496" s="51"/>
      <c r="Q496" s="52">
        <f>O496/J496*100</f>
        <v>1200</v>
      </c>
      <c r="R496" s="52">
        <f t="shared" si="276"/>
        <v>300</v>
      </c>
      <c r="S496" s="51">
        <f>S244</f>
        <v>0</v>
      </c>
      <c r="T496" s="51"/>
      <c r="U496" s="52"/>
      <c r="V496" s="52"/>
      <c r="W496" s="51">
        <f aca="true" t="shared" si="281" ref="W496:W501">W244</f>
        <v>0</v>
      </c>
      <c r="X496" s="52"/>
      <c r="Y496" s="51">
        <f aca="true" t="shared" si="282" ref="Y496:Y506">Y244</f>
        <v>0</v>
      </c>
      <c r="Z496" s="52"/>
      <c r="AA496" s="51">
        <f aca="true" t="shared" si="283" ref="AA496:AA506">AA244</f>
        <v>0</v>
      </c>
      <c r="AB496" s="52"/>
      <c r="AC496" s="51"/>
      <c r="AD496" s="51"/>
      <c r="AE496" s="31">
        <f t="shared" si="277"/>
        <v>10440000</v>
      </c>
      <c r="AF496" s="31"/>
      <c r="AI496" s="51">
        <f aca="true" t="shared" si="284" ref="AI496:AK500">AI244</f>
        <v>0</v>
      </c>
      <c r="AJ496" s="51">
        <f t="shared" si="284"/>
        <v>0</v>
      </c>
      <c r="AK496" s="51">
        <f t="shared" si="284"/>
        <v>0</v>
      </c>
      <c r="AL496" s="51">
        <f t="shared" si="273"/>
        <v>0</v>
      </c>
      <c r="AM496" s="51">
        <f t="shared" si="272"/>
        <v>0</v>
      </c>
    </row>
    <row r="497" spans="1:39" s="50" customFormat="1" ht="11.25">
      <c r="A497" s="48" t="s">
        <v>404</v>
      </c>
      <c r="B497" s="49"/>
      <c r="C497" s="50" t="s">
        <v>405</v>
      </c>
      <c r="D497" s="51"/>
      <c r="E497" s="51">
        <v>70000000</v>
      </c>
      <c r="F497" s="51"/>
      <c r="G497" s="51">
        <f t="shared" si="278"/>
        <v>74647000</v>
      </c>
      <c r="H497" s="51">
        <v>21300000</v>
      </c>
      <c r="I497" s="51">
        <v>21300000</v>
      </c>
      <c r="J497" s="51">
        <f t="shared" si="279"/>
        <v>21300000</v>
      </c>
      <c r="K497" s="51">
        <f t="shared" si="279"/>
        <v>95000000</v>
      </c>
      <c r="L497" s="52">
        <f>K497/J497*100</f>
        <v>446.0093896713615</v>
      </c>
      <c r="M497" s="51">
        <f>M245</f>
        <v>57000000</v>
      </c>
      <c r="N497" s="51"/>
      <c r="O497" s="51">
        <f t="shared" si="280"/>
        <v>62000000</v>
      </c>
      <c r="P497" s="51"/>
      <c r="Q497" s="52">
        <f>O497/J497*100</f>
        <v>291.07981220657274</v>
      </c>
      <c r="R497" s="52">
        <f t="shared" si="276"/>
        <v>108.77192982456141</v>
      </c>
      <c r="S497" s="51">
        <f>S245</f>
        <v>13362200</v>
      </c>
      <c r="T497" s="51"/>
      <c r="U497" s="52">
        <f>S497/M497*100</f>
        <v>23.442456140350878</v>
      </c>
      <c r="V497" s="52">
        <f>S497/O497*100</f>
        <v>21.551935483870967</v>
      </c>
      <c r="W497" s="51">
        <f t="shared" si="281"/>
        <v>33619100</v>
      </c>
      <c r="X497" s="52">
        <f>W497/S497*100</f>
        <v>251.59853916271274</v>
      </c>
      <c r="Y497" s="51">
        <f t="shared" si="282"/>
        <v>0</v>
      </c>
      <c r="Z497" s="52">
        <f>Y497/W497*100</f>
        <v>0</v>
      </c>
      <c r="AA497" s="51">
        <f t="shared" si="283"/>
        <v>0</v>
      </c>
      <c r="AB497" s="52"/>
      <c r="AC497" s="51"/>
      <c r="AD497" s="51"/>
      <c r="AE497" s="31">
        <f t="shared" si="277"/>
        <v>59508000</v>
      </c>
      <c r="AF497" s="31"/>
      <c r="AI497" s="51">
        <f t="shared" si="284"/>
        <v>0</v>
      </c>
      <c r="AJ497" s="51">
        <f t="shared" si="284"/>
        <v>13362200</v>
      </c>
      <c r="AK497" s="51">
        <f t="shared" si="284"/>
        <v>13362200</v>
      </c>
      <c r="AL497" s="51">
        <f t="shared" si="273"/>
        <v>13362200</v>
      </c>
      <c r="AM497" s="51">
        <f t="shared" si="272"/>
        <v>0</v>
      </c>
    </row>
    <row r="498" spans="1:39" s="50" customFormat="1" ht="11.25" hidden="1">
      <c r="A498" s="48" t="s">
        <v>406</v>
      </c>
      <c r="B498" s="49"/>
      <c r="C498" s="50" t="s">
        <v>407</v>
      </c>
      <c r="D498" s="51"/>
      <c r="E498" s="51">
        <v>9000000</v>
      </c>
      <c r="F498" s="51"/>
      <c r="G498" s="51">
        <f t="shared" si="278"/>
        <v>11600000</v>
      </c>
      <c r="H498" s="51">
        <v>16000000</v>
      </c>
      <c r="I498" s="51">
        <v>16000000</v>
      </c>
      <c r="J498" s="51">
        <f t="shared" si="279"/>
        <v>13337000</v>
      </c>
      <c r="K498" s="51">
        <f t="shared" si="279"/>
        <v>0</v>
      </c>
      <c r="L498" s="52">
        <f>K498/J498*100</f>
        <v>0</v>
      </c>
      <c r="M498" s="51">
        <f>M246</f>
        <v>4000000</v>
      </c>
      <c r="N498" s="51"/>
      <c r="O498" s="51">
        <f t="shared" si="280"/>
        <v>0</v>
      </c>
      <c r="P498" s="51"/>
      <c r="Q498" s="52">
        <f>O498/J498*100</f>
        <v>0</v>
      </c>
      <c r="R498" s="52">
        <f t="shared" si="276"/>
        <v>0</v>
      </c>
      <c r="S498" s="51">
        <f>S246</f>
        <v>0</v>
      </c>
      <c r="T498" s="51"/>
      <c r="U498" s="52"/>
      <c r="V498" s="52"/>
      <c r="W498" s="51">
        <f t="shared" si="281"/>
        <v>19533600</v>
      </c>
      <c r="X498" s="52"/>
      <c r="Y498" s="51">
        <f t="shared" si="282"/>
        <v>0</v>
      </c>
      <c r="Z498" s="52"/>
      <c r="AA498" s="51">
        <f t="shared" si="283"/>
        <v>0</v>
      </c>
      <c r="AB498" s="52"/>
      <c r="AC498" s="51"/>
      <c r="AD498" s="51"/>
      <c r="AE498" s="31">
        <f t="shared" si="277"/>
        <v>4176000</v>
      </c>
      <c r="AF498" s="31"/>
      <c r="AI498" s="51">
        <f t="shared" si="284"/>
        <v>0</v>
      </c>
      <c r="AJ498" s="51">
        <f t="shared" si="284"/>
        <v>0</v>
      </c>
      <c r="AK498" s="51">
        <f t="shared" si="284"/>
        <v>0</v>
      </c>
      <c r="AL498" s="51">
        <f t="shared" si="273"/>
        <v>0</v>
      </c>
      <c r="AM498" s="51">
        <f t="shared" si="272"/>
        <v>0</v>
      </c>
    </row>
    <row r="499" spans="1:39" s="50" customFormat="1" ht="11.25">
      <c r="A499" s="48" t="s">
        <v>408</v>
      </c>
      <c r="B499" s="49"/>
      <c r="C499" s="50" t="s">
        <v>409</v>
      </c>
      <c r="D499" s="51"/>
      <c r="E499" s="51">
        <v>7000000</v>
      </c>
      <c r="F499" s="51"/>
      <c r="G499" s="51">
        <f t="shared" si="278"/>
        <v>3500000</v>
      </c>
      <c r="H499" s="51"/>
      <c r="I499" s="51"/>
      <c r="J499" s="51">
        <f t="shared" si="279"/>
        <v>0</v>
      </c>
      <c r="K499" s="51">
        <f t="shared" si="279"/>
        <v>33215000</v>
      </c>
      <c r="L499" s="41"/>
      <c r="M499" s="51">
        <f>M247</f>
        <v>22757500</v>
      </c>
      <c r="N499" s="51"/>
      <c r="O499" s="51">
        <f t="shared" si="280"/>
        <v>22757500</v>
      </c>
      <c r="P499" s="51"/>
      <c r="Q499" s="41"/>
      <c r="R499" s="52">
        <f t="shared" si="276"/>
        <v>100</v>
      </c>
      <c r="S499" s="51">
        <f>S247</f>
        <v>22955200</v>
      </c>
      <c r="T499" s="51"/>
      <c r="U499" s="52">
        <f>S499/M499*100</f>
        <v>100.86872459628692</v>
      </c>
      <c r="V499" s="52">
        <f>S499/O499*100</f>
        <v>100.86872459628692</v>
      </c>
      <c r="W499" s="51">
        <f t="shared" si="281"/>
        <v>0</v>
      </c>
      <c r="X499" s="52"/>
      <c r="Y499" s="51">
        <f t="shared" si="282"/>
        <v>0</v>
      </c>
      <c r="Z499" s="52"/>
      <c r="AA499" s="51">
        <f t="shared" si="283"/>
        <v>0</v>
      </c>
      <c r="AB499" s="52"/>
      <c r="AC499" s="51"/>
      <c r="AD499" s="51"/>
      <c r="AE499" s="31">
        <f t="shared" si="277"/>
        <v>23758830</v>
      </c>
      <c r="AF499" s="31"/>
      <c r="AI499" s="51">
        <f t="shared" si="284"/>
        <v>0</v>
      </c>
      <c r="AJ499" s="51">
        <f t="shared" si="284"/>
        <v>0</v>
      </c>
      <c r="AK499" s="51">
        <f t="shared" si="284"/>
        <v>22955200</v>
      </c>
      <c r="AL499" s="51">
        <f t="shared" si="273"/>
        <v>0</v>
      </c>
      <c r="AM499" s="51">
        <f t="shared" si="272"/>
        <v>22955200</v>
      </c>
    </row>
    <row r="500" spans="1:39" s="50" customFormat="1" ht="11.25" hidden="1">
      <c r="A500" s="48" t="s">
        <v>410</v>
      </c>
      <c r="B500" s="49"/>
      <c r="C500" s="50" t="s">
        <v>411</v>
      </c>
      <c r="D500" s="51"/>
      <c r="E500" s="51">
        <v>21130000</v>
      </c>
      <c r="F500" s="51"/>
      <c r="G500" s="51">
        <f t="shared" si="278"/>
        <v>0</v>
      </c>
      <c r="H500" s="51"/>
      <c r="I500" s="51"/>
      <c r="J500" s="51">
        <f t="shared" si="279"/>
        <v>0</v>
      </c>
      <c r="K500" s="51">
        <f t="shared" si="279"/>
        <v>0</v>
      </c>
      <c r="L500" s="41"/>
      <c r="M500" s="51">
        <f>M248</f>
        <v>0</v>
      </c>
      <c r="N500" s="51"/>
      <c r="O500" s="51">
        <f t="shared" si="280"/>
        <v>0</v>
      </c>
      <c r="P500" s="51"/>
      <c r="Q500" s="41"/>
      <c r="R500" s="52"/>
      <c r="S500" s="51">
        <f>S248</f>
        <v>0</v>
      </c>
      <c r="T500" s="51"/>
      <c r="U500" s="52"/>
      <c r="V500" s="52"/>
      <c r="W500" s="51">
        <f t="shared" si="281"/>
        <v>0</v>
      </c>
      <c r="X500" s="52"/>
      <c r="Y500" s="51">
        <f t="shared" si="282"/>
        <v>0</v>
      </c>
      <c r="Z500" s="52"/>
      <c r="AA500" s="51">
        <f t="shared" si="283"/>
        <v>0</v>
      </c>
      <c r="AB500" s="52"/>
      <c r="AC500" s="51"/>
      <c r="AD500" s="51"/>
      <c r="AE500" s="31">
        <f t="shared" si="277"/>
        <v>0</v>
      </c>
      <c r="AF500" s="31"/>
      <c r="AI500" s="51">
        <f t="shared" si="284"/>
        <v>0</v>
      </c>
      <c r="AJ500" s="51">
        <f t="shared" si="284"/>
        <v>0</v>
      </c>
      <c r="AK500" s="51">
        <f t="shared" si="284"/>
        <v>0</v>
      </c>
      <c r="AL500" s="51">
        <f t="shared" si="273"/>
        <v>0</v>
      </c>
      <c r="AM500" s="51">
        <f t="shared" si="272"/>
        <v>0</v>
      </c>
    </row>
    <row r="501" spans="1:39" s="50" customFormat="1" ht="11.25" hidden="1">
      <c r="A501" s="48" t="s">
        <v>412</v>
      </c>
      <c r="B501" s="49"/>
      <c r="C501" s="50" t="s">
        <v>413</v>
      </c>
      <c r="D501" s="51"/>
      <c r="E501" s="51"/>
      <c r="F501" s="51"/>
      <c r="G501" s="51">
        <f t="shared" si="278"/>
        <v>49588773.75</v>
      </c>
      <c r="H501" s="51">
        <v>16000000</v>
      </c>
      <c r="I501" s="51">
        <v>16000000</v>
      </c>
      <c r="J501" s="51">
        <f t="shared" si="279"/>
        <v>0</v>
      </c>
      <c r="K501" s="51">
        <f t="shared" si="279"/>
        <v>0</v>
      </c>
      <c r="L501" s="52"/>
      <c r="M501" s="51"/>
      <c r="N501" s="51"/>
      <c r="O501" s="51">
        <f t="shared" si="280"/>
        <v>0</v>
      </c>
      <c r="P501" s="51"/>
      <c r="Q501" s="52"/>
      <c r="R501" s="52" t="e">
        <f>O501/M501*100</f>
        <v>#DIV/0!</v>
      </c>
      <c r="S501" s="51"/>
      <c r="T501" s="51"/>
      <c r="U501" s="52" t="e">
        <f>S501/M501*100</f>
        <v>#DIV/0!</v>
      </c>
      <c r="V501" s="52" t="e">
        <f>S501/O501*100</f>
        <v>#DIV/0!</v>
      </c>
      <c r="W501" s="51">
        <f t="shared" si="281"/>
        <v>0</v>
      </c>
      <c r="X501" s="52"/>
      <c r="Y501" s="51">
        <f t="shared" si="282"/>
        <v>0</v>
      </c>
      <c r="Z501" s="52"/>
      <c r="AA501" s="51">
        <f t="shared" si="283"/>
        <v>0</v>
      </c>
      <c r="AB501" s="52"/>
      <c r="AC501" s="51"/>
      <c r="AD501" s="51"/>
      <c r="AE501" s="31">
        <f t="shared" si="277"/>
        <v>0</v>
      </c>
      <c r="AF501" s="31"/>
      <c r="AI501" s="51">
        <f aca="true" t="shared" si="285" ref="AI501:AI506">AI249</f>
        <v>0</v>
      </c>
      <c r="AJ501" s="51"/>
      <c r="AK501" s="51"/>
      <c r="AL501" s="51">
        <f t="shared" si="273"/>
        <v>0</v>
      </c>
      <c r="AM501" s="51">
        <f t="shared" si="272"/>
        <v>0</v>
      </c>
    </row>
    <row r="502" spans="1:39" s="50" customFormat="1" ht="11.25" hidden="1">
      <c r="A502" s="48" t="s">
        <v>414</v>
      </c>
      <c r="B502" s="49"/>
      <c r="C502" s="50" t="s">
        <v>415</v>
      </c>
      <c r="D502" s="51"/>
      <c r="E502" s="51"/>
      <c r="F502" s="51"/>
      <c r="G502" s="51">
        <f t="shared" si="278"/>
        <v>0</v>
      </c>
      <c r="H502" s="51">
        <v>13353000</v>
      </c>
      <c r="I502" s="51"/>
      <c r="J502" s="51">
        <f t="shared" si="279"/>
        <v>0</v>
      </c>
      <c r="K502" s="51">
        <f t="shared" si="279"/>
        <v>0</v>
      </c>
      <c r="L502" s="52"/>
      <c r="M502" s="51">
        <f>M250</f>
        <v>0</v>
      </c>
      <c r="N502" s="51"/>
      <c r="O502" s="51">
        <f t="shared" si="280"/>
        <v>0</v>
      </c>
      <c r="P502" s="51"/>
      <c r="Q502" s="52"/>
      <c r="R502" s="52"/>
      <c r="S502" s="51"/>
      <c r="T502" s="51"/>
      <c r="U502" s="52" t="e">
        <f>S502/M502*100</f>
        <v>#DIV/0!</v>
      </c>
      <c r="V502" s="52" t="e">
        <f>S502/O502*100</f>
        <v>#DIV/0!</v>
      </c>
      <c r="W502" s="51"/>
      <c r="X502" s="52"/>
      <c r="Y502" s="51">
        <f t="shared" si="282"/>
        <v>0</v>
      </c>
      <c r="Z502" s="52" t="e">
        <f>Y502/W502*100</f>
        <v>#DIV/0!</v>
      </c>
      <c r="AA502" s="51">
        <f t="shared" si="283"/>
        <v>0</v>
      </c>
      <c r="AB502" s="52"/>
      <c r="AC502" s="51"/>
      <c r="AD502" s="51"/>
      <c r="AE502" s="31">
        <f t="shared" si="277"/>
        <v>0</v>
      </c>
      <c r="AF502" s="31"/>
      <c r="AI502" s="51">
        <f t="shared" si="285"/>
        <v>0</v>
      </c>
      <c r="AJ502" s="51"/>
      <c r="AK502" s="51"/>
      <c r="AL502" s="51">
        <f t="shared" si="273"/>
        <v>0</v>
      </c>
      <c r="AM502" s="51">
        <f t="shared" si="272"/>
        <v>0</v>
      </c>
    </row>
    <row r="503" spans="1:39" s="50" customFormat="1" ht="11.25">
      <c r="A503" s="48" t="s">
        <v>416</v>
      </c>
      <c r="B503" s="49"/>
      <c r="C503" s="50" t="s">
        <v>417</v>
      </c>
      <c r="D503" s="51"/>
      <c r="E503" s="51">
        <v>8043946</v>
      </c>
      <c r="F503" s="51"/>
      <c r="G503" s="51">
        <f t="shared" si="278"/>
        <v>1544405</v>
      </c>
      <c r="H503" s="51">
        <v>10000000</v>
      </c>
      <c r="I503" s="51">
        <f>10000000+101202000</f>
        <v>111202000</v>
      </c>
      <c r="J503" s="51">
        <f t="shared" si="279"/>
        <v>36921250</v>
      </c>
      <c r="K503" s="51">
        <f t="shared" si="279"/>
        <v>12000000</v>
      </c>
      <c r="L503" s="52">
        <f>K503/J503*100</f>
        <v>32.50160815248671</v>
      </c>
      <c r="M503" s="51">
        <f>M251</f>
        <v>142000000</v>
      </c>
      <c r="N503" s="51"/>
      <c r="O503" s="51">
        <f t="shared" si="280"/>
        <v>141000000</v>
      </c>
      <c r="P503" s="51"/>
      <c r="Q503" s="52">
        <f>O503/J503*100</f>
        <v>381.8938957917188</v>
      </c>
      <c r="R503" s="52">
        <f>O503/M503*100</f>
        <v>99.29577464788733</v>
      </c>
      <c r="S503" s="51">
        <f>S251</f>
        <v>36500000</v>
      </c>
      <c r="T503" s="51"/>
      <c r="U503" s="52">
        <f>S503/M503*100</f>
        <v>25.704225352112676</v>
      </c>
      <c r="V503" s="52">
        <f>S503/O503*100</f>
        <v>25.886524822695034</v>
      </c>
      <c r="W503" s="51">
        <f>W251</f>
        <v>14000000</v>
      </c>
      <c r="X503" s="52">
        <f>W503/S503*100</f>
        <v>38.35616438356164</v>
      </c>
      <c r="Y503" s="51">
        <f t="shared" si="282"/>
        <v>14000000</v>
      </c>
      <c r="Z503" s="52">
        <f>Y503/W503*100</f>
        <v>100</v>
      </c>
      <c r="AA503" s="51">
        <f t="shared" si="283"/>
        <v>14000000</v>
      </c>
      <c r="AB503" s="52">
        <f>AA503/Y503*100</f>
        <v>100</v>
      </c>
      <c r="AC503" s="51"/>
      <c r="AD503" s="51"/>
      <c r="AE503" s="31">
        <f t="shared" si="277"/>
        <v>148248000</v>
      </c>
      <c r="AF503" s="31"/>
      <c r="AI503" s="51">
        <f t="shared" si="285"/>
        <v>22000000</v>
      </c>
      <c r="AJ503" s="51">
        <f aca="true" t="shared" si="286" ref="AJ503:AK506">AJ251</f>
        <v>22000000</v>
      </c>
      <c r="AK503" s="51">
        <f t="shared" si="286"/>
        <v>36500000</v>
      </c>
      <c r="AL503" s="51">
        <f t="shared" si="273"/>
        <v>0</v>
      </c>
      <c r="AM503" s="51">
        <f t="shared" si="272"/>
        <v>14500000</v>
      </c>
    </row>
    <row r="504" spans="1:39" s="50" customFormat="1" ht="11.25" hidden="1">
      <c r="A504" s="48" t="s">
        <v>418</v>
      </c>
      <c r="B504" s="49"/>
      <c r="C504" s="50" t="s">
        <v>419</v>
      </c>
      <c r="D504" s="51"/>
      <c r="E504" s="51"/>
      <c r="F504" s="51"/>
      <c r="G504" s="51">
        <f t="shared" si="278"/>
        <v>0</v>
      </c>
      <c r="H504" s="51">
        <v>3680000</v>
      </c>
      <c r="I504" s="51">
        <v>3680000</v>
      </c>
      <c r="J504" s="51">
        <f t="shared" si="279"/>
        <v>3679193</v>
      </c>
      <c r="K504" s="51">
        <f t="shared" si="279"/>
        <v>0</v>
      </c>
      <c r="L504" s="52">
        <f>K504/J504*100</f>
        <v>0</v>
      </c>
      <c r="M504" s="51">
        <f>M252</f>
        <v>0</v>
      </c>
      <c r="N504" s="51"/>
      <c r="O504" s="51">
        <f t="shared" si="280"/>
        <v>1020000</v>
      </c>
      <c r="P504" s="51"/>
      <c r="Q504" s="52">
        <f>O504/J504*100</f>
        <v>27.723470880706717</v>
      </c>
      <c r="R504" s="52"/>
      <c r="S504" s="51">
        <f>S252</f>
        <v>0</v>
      </c>
      <c r="T504" s="51"/>
      <c r="U504" s="52"/>
      <c r="V504" s="52"/>
      <c r="W504" s="51">
        <f>W252</f>
        <v>0</v>
      </c>
      <c r="X504" s="52"/>
      <c r="Y504" s="51">
        <f t="shared" si="282"/>
        <v>0</v>
      </c>
      <c r="Z504" s="52"/>
      <c r="AA504" s="51">
        <f t="shared" si="283"/>
        <v>0</v>
      </c>
      <c r="AB504" s="52"/>
      <c r="AC504" s="51"/>
      <c r="AD504" s="51"/>
      <c r="AE504" s="31">
        <f t="shared" si="277"/>
        <v>0</v>
      </c>
      <c r="AF504" s="31"/>
      <c r="AI504" s="51">
        <f t="shared" si="285"/>
        <v>0</v>
      </c>
      <c r="AJ504" s="51">
        <f t="shared" si="286"/>
        <v>0</v>
      </c>
      <c r="AK504" s="51">
        <f t="shared" si="286"/>
        <v>0</v>
      </c>
      <c r="AL504" s="51">
        <f t="shared" si="273"/>
        <v>0</v>
      </c>
      <c r="AM504" s="51">
        <f t="shared" si="272"/>
        <v>0</v>
      </c>
    </row>
    <row r="505" spans="1:39" s="50" customFormat="1" ht="11.25" hidden="1">
      <c r="A505" s="48" t="s">
        <v>420</v>
      </c>
      <c r="B505" s="49"/>
      <c r="C505" s="50" t="s">
        <v>421</v>
      </c>
      <c r="D505" s="51"/>
      <c r="E505" s="51"/>
      <c r="F505" s="51"/>
      <c r="G505" s="51">
        <f t="shared" si="278"/>
        <v>0</v>
      </c>
      <c r="H505" s="51"/>
      <c r="I505" s="51"/>
      <c r="J505" s="51">
        <f t="shared" si="279"/>
        <v>0</v>
      </c>
      <c r="K505" s="51">
        <f t="shared" si="279"/>
        <v>50000000</v>
      </c>
      <c r="L505" s="52"/>
      <c r="M505" s="51">
        <f>M253</f>
        <v>0</v>
      </c>
      <c r="N505" s="51"/>
      <c r="O505" s="51">
        <f t="shared" si="280"/>
        <v>0</v>
      </c>
      <c r="P505" s="51"/>
      <c r="Q505" s="52"/>
      <c r="R505" s="52"/>
      <c r="S505" s="51">
        <f>S253</f>
        <v>0</v>
      </c>
      <c r="T505" s="51"/>
      <c r="U505" s="52"/>
      <c r="V505" s="52"/>
      <c r="W505" s="51">
        <f>W253</f>
        <v>0</v>
      </c>
      <c r="X505" s="52"/>
      <c r="Y505" s="51">
        <f t="shared" si="282"/>
        <v>0</v>
      </c>
      <c r="Z505" s="52"/>
      <c r="AA505" s="51">
        <f t="shared" si="283"/>
        <v>0</v>
      </c>
      <c r="AB505" s="52"/>
      <c r="AC505" s="51"/>
      <c r="AD505" s="51"/>
      <c r="AE505" s="31">
        <f t="shared" si="277"/>
        <v>0</v>
      </c>
      <c r="AF505" s="31"/>
      <c r="AI505" s="51">
        <f t="shared" si="285"/>
        <v>0</v>
      </c>
      <c r="AJ505" s="51">
        <f t="shared" si="286"/>
        <v>0</v>
      </c>
      <c r="AK505" s="51">
        <f t="shared" si="286"/>
        <v>0</v>
      </c>
      <c r="AL505" s="51">
        <f t="shared" si="273"/>
        <v>0</v>
      </c>
      <c r="AM505" s="51">
        <f t="shared" si="272"/>
        <v>0</v>
      </c>
    </row>
    <row r="506" spans="1:39" s="50" customFormat="1" ht="11.25">
      <c r="A506" s="48" t="s">
        <v>422</v>
      </c>
      <c r="B506" s="49"/>
      <c r="C506" s="50" t="s">
        <v>423</v>
      </c>
      <c r="D506" s="51"/>
      <c r="E506" s="51"/>
      <c r="F506" s="51"/>
      <c r="G506" s="51">
        <f t="shared" si="278"/>
        <v>64181664</v>
      </c>
      <c r="H506" s="51"/>
      <c r="I506" s="51"/>
      <c r="J506" s="51">
        <f t="shared" si="279"/>
        <v>0</v>
      </c>
      <c r="K506" s="51">
        <f t="shared" si="279"/>
        <v>0</v>
      </c>
      <c r="L506" s="41"/>
      <c r="M506" s="51">
        <f>M254</f>
        <v>8013500</v>
      </c>
      <c r="N506" s="51"/>
      <c r="O506" s="51">
        <f t="shared" si="280"/>
        <v>8013500</v>
      </c>
      <c r="P506" s="51"/>
      <c r="Q506" s="41"/>
      <c r="R506" s="52">
        <f>O506/M506*100</f>
        <v>100</v>
      </c>
      <c r="S506" s="51">
        <f>S254</f>
        <v>2000000</v>
      </c>
      <c r="T506" s="51"/>
      <c r="U506" s="41">
        <f>S506/M506*100</f>
        <v>24.95788357147314</v>
      </c>
      <c r="V506" s="41">
        <f>S506/O506*100</f>
        <v>24.95788357147314</v>
      </c>
      <c r="W506" s="51">
        <f>W254</f>
        <v>0</v>
      </c>
      <c r="X506" s="52">
        <f>W506/S506*100</f>
        <v>0</v>
      </c>
      <c r="Y506" s="51">
        <f t="shared" si="282"/>
        <v>0</v>
      </c>
      <c r="Z506" s="52"/>
      <c r="AA506" s="51">
        <f t="shared" si="283"/>
        <v>0</v>
      </c>
      <c r="AB506" s="52"/>
      <c r="AC506" s="51"/>
      <c r="AD506" s="51"/>
      <c r="AE506" s="31">
        <f t="shared" si="277"/>
        <v>8366094</v>
      </c>
      <c r="AF506" s="31"/>
      <c r="AI506" s="51">
        <f t="shared" si="285"/>
        <v>2000000</v>
      </c>
      <c r="AJ506" s="51">
        <f t="shared" si="286"/>
        <v>2000000</v>
      </c>
      <c r="AK506" s="51">
        <f t="shared" si="286"/>
        <v>2000000</v>
      </c>
      <c r="AL506" s="51">
        <f t="shared" si="273"/>
        <v>0</v>
      </c>
      <c r="AM506" s="51">
        <f t="shared" si="272"/>
        <v>0</v>
      </c>
    </row>
    <row r="507" spans="18:28" ht="12.75">
      <c r="R507" s="52"/>
      <c r="X507" s="52"/>
      <c r="Z507" s="52"/>
      <c r="AB507" s="52"/>
    </row>
    <row r="508" spans="3:39" s="27" customFormat="1" ht="15.75">
      <c r="C508" s="27" t="s">
        <v>627</v>
      </c>
      <c r="G508" s="19">
        <f>G469+G470+G471+G473+G474+G479+G480+G484+G485+G486+G488+G489+G490+G494+G495</f>
        <v>2609564103.5299997</v>
      </c>
      <c r="J508" s="19">
        <f>J469+J470+J471+J473+J474+J479+J480+J484+J485+J486+J488+J489+J490+J494+J495</f>
        <v>2077444686.88</v>
      </c>
      <c r="K508" s="19">
        <f>K469+K470+K471+K473+K474+K479+K480+K484+K485+K486+K488+K489+K490+K494+K495</f>
        <v>2233208000</v>
      </c>
      <c r="M508" s="19">
        <f>M469+M470+M471+M473+M474+M479+M480+M484+M485+M486+M488+M489+M490+M494+M495</f>
        <v>2992122178</v>
      </c>
      <c r="N508" s="19"/>
      <c r="O508" s="19">
        <f>O469+O470+O471+O472+O473+O474+O479+O480+O484+O485+O486+O488+O489+O490+O494+O495</f>
        <v>2428421000</v>
      </c>
      <c r="P508" s="19"/>
      <c r="Q508" s="20">
        <f>O508/J508*100</f>
        <v>116.89461651309291</v>
      </c>
      <c r="R508" s="20">
        <f>O508/M508*100</f>
        <v>81.16048929603569</v>
      </c>
      <c r="S508" s="19">
        <f>S469+S470+S471+S472+S473+S474+S479+S480+S484+S485+S486+S487+S488+S489+S490+S494+S495</f>
        <v>2776591400</v>
      </c>
      <c r="T508" s="19"/>
      <c r="U508" s="20">
        <f>S508/M508*100</f>
        <v>92.796725361527</v>
      </c>
      <c r="V508" s="20">
        <f>S508/O508*100</f>
        <v>114.33731630553352</v>
      </c>
      <c r="W508" s="19">
        <f>W469+W470+W471+W472+W473+W474+W479+W480+W484+W485+W486+W488+W489+W490+W494+W495</f>
        <v>2177152700</v>
      </c>
      <c r="X508" s="20">
        <f>W508/S508*100</f>
        <v>78.41098621857002</v>
      </c>
      <c r="Y508" s="19">
        <f>Y469+Y470+Y471+Y472+Y473+Y474+Y479+Y480+Y484+Y485+Y486+Y488+Y489+Y490+Y494+Y495</f>
        <v>2142500000</v>
      </c>
      <c r="Z508" s="20">
        <f>Y508/W508*100</f>
        <v>98.40834774703676</v>
      </c>
      <c r="AA508" s="19">
        <f>AA469+AA470+AA471+AA472+AA473+AA474+AA479+AA480+AA484+AA485+AA486+AA488+AA489+AA490+AA494+AA495</f>
        <v>2080000000</v>
      </c>
      <c r="AB508" s="20">
        <f>AA508/Y508*100</f>
        <v>97.0828471411902</v>
      </c>
      <c r="AC508" s="19"/>
      <c r="AD508" s="19"/>
      <c r="AI508" s="19">
        <f>AI469+AI470+AI471+AI472+AI473+AI474+AI479+AI480+AI484+AI485+AI486+AI488+AI489+AI490+AI494+AI495</f>
        <v>2387774000</v>
      </c>
      <c r="AJ508" s="19">
        <f>AJ469+AJ470+AJ471+AJ472+AJ473+AJ474+AJ479+AJ480+AJ484+AJ485+AJ486+AJ488+AJ489+AJ490+AJ494+AJ495</f>
        <v>2751136200</v>
      </c>
      <c r="AK508" s="19">
        <f>AK469+AK470+AK471+AK472+AK473+AK474+AK479+AK480+AK484+AK485+AK486+AK487+AK488+AK489+AK490+AK494+AK495</f>
        <v>2776591400</v>
      </c>
      <c r="AL508" s="19">
        <f>AJ508-AI508</f>
        <v>363362200</v>
      </c>
      <c r="AM508" s="19">
        <f>AK508-AJ508</f>
        <v>25455200</v>
      </c>
    </row>
  </sheetData>
  <printOptions gridLines="1"/>
  <pageMargins left="0.2" right="0.22" top="0.54" bottom="0.56" header="0.23" footer="0"/>
  <pageSetup horizontalDpi="300" verticalDpi="300" orientation="landscape" paperSize="9" scale="75" r:id="rId1"/>
  <rowBreaks count="2" manualBreakCount="2">
    <brk id="386" max="255" man="1"/>
    <brk id="4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Pišek</dc:creator>
  <cp:keywords/>
  <dc:description/>
  <cp:lastModifiedBy>INFO</cp:lastModifiedBy>
  <dcterms:created xsi:type="dcterms:W3CDTF">2001-01-25T11:50:28Z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