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0005" windowHeight="7110" tabRatio="883" firstSheet="1" activeTab="1"/>
  </bookViews>
  <sheets>
    <sheet name="prorač-realiz99novo" sheetId="1" r:id="rId1"/>
    <sheet name="Priloga 1" sheetId="2" r:id="rId2"/>
  </sheets>
  <externalReferences>
    <externalReference r:id="rId5"/>
  </externalReferences>
  <definedNames>
    <definedName name="_xlnm.Print_Area" localSheetId="1">'Priloga 1'!$A$1:$I$455</definedName>
    <definedName name="_xlnm.Print_Area" localSheetId="0">'prorač-realiz99novo'!$A:$AK</definedName>
    <definedName name="_xlnm.Print_Titles" localSheetId="1">'Priloga 1'!$3:$6</definedName>
    <definedName name="_xlnm.Print_Titles" localSheetId="0">'prorač-realiz99novo'!$3:$6</definedName>
  </definedNames>
  <calcPr fullCalcOnLoad="1"/>
</workbook>
</file>

<file path=xl/sharedStrings.xml><?xml version="1.0" encoding="utf-8"?>
<sst xmlns="http://schemas.openxmlformats.org/spreadsheetml/2006/main" count="1330" uniqueCount="622">
  <si>
    <t>A.</t>
  </si>
  <si>
    <t>BILANCA  PRIHODKOV  IN  ODHODKOV</t>
  </si>
  <si>
    <t>10.3.2000</t>
  </si>
  <si>
    <t>10.4.2000</t>
  </si>
  <si>
    <t>10.3.99</t>
  </si>
  <si>
    <t>20.8.99</t>
  </si>
  <si>
    <t>4.10.99</t>
  </si>
  <si>
    <t>Skup,podsk.</t>
  </si>
  <si>
    <t>Naziv konta</t>
  </si>
  <si>
    <t>Rebalans</t>
  </si>
  <si>
    <t>Realizacija</t>
  </si>
  <si>
    <t>Indeks</t>
  </si>
  <si>
    <t>Primerljiva realiz.</t>
  </si>
  <si>
    <t>Plan - MOM</t>
  </si>
  <si>
    <t>Plan</t>
  </si>
  <si>
    <t>Primerljivi rebalans</t>
  </si>
  <si>
    <t>Razlika</t>
  </si>
  <si>
    <t>IND</t>
  </si>
  <si>
    <t>Sprejeti plan</t>
  </si>
  <si>
    <t>Plan s popravki</t>
  </si>
  <si>
    <t>Povečanje</t>
  </si>
  <si>
    <t>Zmanjšanje</t>
  </si>
  <si>
    <t>Konto,podk.</t>
  </si>
  <si>
    <t>(4:3)</t>
  </si>
  <si>
    <t>(5:4)</t>
  </si>
  <si>
    <t>1999 - I.obr.</t>
  </si>
  <si>
    <t>(4-3)</t>
  </si>
  <si>
    <t>(4:2)</t>
  </si>
  <si>
    <t>kontov - 2000</t>
  </si>
  <si>
    <t>(5-4)</t>
  </si>
  <si>
    <t>6a</t>
  </si>
  <si>
    <t>4a</t>
  </si>
  <si>
    <t>I.</t>
  </si>
  <si>
    <t>S K U P A J    P R I H O D K I</t>
  </si>
  <si>
    <t>(70+71+72+73+74)</t>
  </si>
  <si>
    <t>TEKOČI  PRIHODKI (70+71)</t>
  </si>
  <si>
    <t>DAVČNI  PRIHODKI</t>
  </si>
  <si>
    <t>(700+701+702+703+704+705+706)</t>
  </si>
  <si>
    <t>DAVKI NA DOHODEK IN DOBIČEK</t>
  </si>
  <si>
    <t>Dohodnina</t>
  </si>
  <si>
    <t>700001</t>
  </si>
  <si>
    <t>Dohodnina - letni poračun</t>
  </si>
  <si>
    <t>700002</t>
  </si>
  <si>
    <t>Akontacija dohodn. - od plač in drugih oseb. prejem. iz del. razmerja</t>
  </si>
  <si>
    <t>700003</t>
  </si>
  <si>
    <t>Akontacija dohodnine - od pokojnin</t>
  </si>
  <si>
    <t>700004</t>
  </si>
  <si>
    <t>Akontac. dohodn. - od prejemkov, dosež. na podlagi pogodbe o delu</t>
  </si>
  <si>
    <t>700005</t>
  </si>
  <si>
    <t>Akon. doh. - od drugih prejem., vključno z nagradami in podob. prej.</t>
  </si>
  <si>
    <t>700006</t>
  </si>
  <si>
    <t>Akon. doh. - od doh. iz kmetij., ki se obr. od kat. doh. od kmet. zemljišč</t>
  </si>
  <si>
    <t>700007</t>
  </si>
  <si>
    <t>Akon. doh. - od doh. iz kmetij., ki se obr. od kat. doh. od gozd. zemljišč</t>
  </si>
  <si>
    <t>700008</t>
  </si>
  <si>
    <t>Akon. doh. - od dohodka iz dejavnosti</t>
  </si>
  <si>
    <t>700009</t>
  </si>
  <si>
    <t>Akon. doh. - od dohodka iz dejavnosti od vsakega posamez. prejemka</t>
  </si>
  <si>
    <t>700010</t>
  </si>
  <si>
    <t>Akon. doh. - od dobička iz kapitala od nepremičnin</t>
  </si>
  <si>
    <t>700011</t>
  </si>
  <si>
    <t>Akon. doh. - od dobič. iz kapit. od vredn. papir. in dr. deležev v kapitalu</t>
  </si>
  <si>
    <t>700012</t>
  </si>
  <si>
    <t>Akon. doh. - od dohodkov, doseženih z udeležbo pri dobičku</t>
  </si>
  <si>
    <t>700013</t>
  </si>
  <si>
    <t>Akon. doh. - od obresti na posojila, dana fizičnim in pravnim osebam</t>
  </si>
  <si>
    <t>700014</t>
  </si>
  <si>
    <t>Akon. doh. - od doh. iz premoženja, dosež. z oddajanjem zemljišč,</t>
  </si>
  <si>
    <t xml:space="preserve">    stanovanjskih ali posl. prost., garaž in prost. za počitek in rekreac. </t>
  </si>
  <si>
    <t>700015</t>
  </si>
  <si>
    <t>Akon. doh. - od dohodkov iz premoženjskih pravic - iz avtorskih pravic</t>
  </si>
  <si>
    <t>700016</t>
  </si>
  <si>
    <t>Akon. doh. - od dohodkov iz premoženjskih pravic - od izumov,</t>
  </si>
  <si>
    <t xml:space="preserve">    znakov razlikovanja in tehničnih izboljšav</t>
  </si>
  <si>
    <t>700017</t>
  </si>
  <si>
    <t>Zamudne obresti od dohodnine</t>
  </si>
  <si>
    <t>DAVKI NA PREMOŽENJE</t>
  </si>
  <si>
    <t>Davki na nepremičnine</t>
  </si>
  <si>
    <t>703000</t>
  </si>
  <si>
    <t>Davek od premoženja od stavb - od fizičnih oseb</t>
  </si>
  <si>
    <t>703001</t>
  </si>
  <si>
    <t>Davek od premoženja od prostorov za počitek in rekreacijo</t>
  </si>
  <si>
    <t>703002</t>
  </si>
  <si>
    <t>Zamudne obresti od davkov na nepremičnine</t>
  </si>
  <si>
    <t>703003</t>
  </si>
  <si>
    <t>Nadomestilo za uporabo stavbnega zemljišča - od pravnih oseb</t>
  </si>
  <si>
    <t>703004</t>
  </si>
  <si>
    <t>Nadomestilo za uporabo stavbnega zemljišča - od fizičnih oseb</t>
  </si>
  <si>
    <t>703005</t>
  </si>
  <si>
    <t>Zamudne obresti iz naslova nadomestila za uporabo stavb. zemljišča</t>
  </si>
  <si>
    <t>Davki na premičnine</t>
  </si>
  <si>
    <t>703100</t>
  </si>
  <si>
    <t>Davek od premoženja - na posest plovnih objektov</t>
  </si>
  <si>
    <t>703101</t>
  </si>
  <si>
    <t>Zamudne obresti od davkov na premičnine</t>
  </si>
  <si>
    <t>Davki na dediščine in darila</t>
  </si>
  <si>
    <t>703200</t>
  </si>
  <si>
    <t>Davek na dediščine in darila</t>
  </si>
  <si>
    <t>703201</t>
  </si>
  <si>
    <t>Zamudne obresti od davka na dediščine in darila</t>
  </si>
  <si>
    <t xml:space="preserve">Davki na promet nepremičnin </t>
  </si>
  <si>
    <t>703300</t>
  </si>
  <si>
    <t>Davek na promet nepremičnin - od pravnih oseb</t>
  </si>
  <si>
    <t>703301</t>
  </si>
  <si>
    <t>Davek na promet nepremičnin - od fizičnih oseb</t>
  </si>
  <si>
    <t>703302</t>
  </si>
  <si>
    <t>Davek na promet nepremičnin - od pravnih in fizičnih oseb, ki nimajo</t>
  </si>
  <si>
    <t xml:space="preserve">    sedeža oz. stalnega prebivališča v RS</t>
  </si>
  <si>
    <t>703303</t>
  </si>
  <si>
    <t>Zamudne obresti od davka na promet nepremičnin</t>
  </si>
  <si>
    <t>DOMAČI DAVKI NA BLAGO IN STORITVE</t>
  </si>
  <si>
    <t>Davki na posebne storitve</t>
  </si>
  <si>
    <t>704403</t>
  </si>
  <si>
    <t>Davek na dobitke od iger na srečo</t>
  </si>
  <si>
    <t>704404</t>
  </si>
  <si>
    <t>Posebna taksa na igralne avtomate</t>
  </si>
  <si>
    <t>704405</t>
  </si>
  <si>
    <t>Zamudne obresti od davka na dobiček od iger na srečo</t>
  </si>
  <si>
    <t>Pristojbine za motorna vozila</t>
  </si>
  <si>
    <t>704604</t>
  </si>
  <si>
    <t>Pristojbine za registracijo kmetijskih traktorjev (povr. za upor. cest)</t>
  </si>
  <si>
    <t>Drugi davki na uporabo blaga in storitev</t>
  </si>
  <si>
    <t>704700</t>
  </si>
  <si>
    <t>Taksa za obremenjevanje vode (državna taksa)</t>
  </si>
  <si>
    <t>704704</t>
  </si>
  <si>
    <t>Turistična taksa</t>
  </si>
  <si>
    <t>704706</t>
  </si>
  <si>
    <t xml:space="preserve">Komunalne takse za taksam zavezane predmete - od pravnih oseb </t>
  </si>
  <si>
    <t>704707</t>
  </si>
  <si>
    <t>Kom. takse za taksam zavez. predm. - od fizičnih oseb in zasebnikov</t>
  </si>
  <si>
    <t>704708</t>
  </si>
  <si>
    <t>Pristojbina za vzdrževanje gozdnih cest</t>
  </si>
  <si>
    <t>704709</t>
  </si>
  <si>
    <t>Druge komunalne takse</t>
  </si>
  <si>
    <t>704710</t>
  </si>
  <si>
    <t>Odškodnina za sprem. namembnosti kmetijskega zemljišča in gozda</t>
  </si>
  <si>
    <t>704711</t>
  </si>
  <si>
    <t>Zamudne obresti iz naslova odšk. za spr. nam. kmet. zemlj. in gozda</t>
  </si>
  <si>
    <t>704713</t>
  </si>
  <si>
    <t>Požarna taksa</t>
  </si>
  <si>
    <t>704714</t>
  </si>
  <si>
    <t>Odškodnine od izkopanih rudnin (gramoz)</t>
  </si>
  <si>
    <t>704715</t>
  </si>
  <si>
    <t>Priključne takse</t>
  </si>
  <si>
    <t>70471500</t>
  </si>
  <si>
    <t>Plinarna d.d.</t>
  </si>
  <si>
    <t>70471501</t>
  </si>
  <si>
    <t>Vodovod d.d.</t>
  </si>
  <si>
    <t>70471502</t>
  </si>
  <si>
    <t>Nigrad d.d.</t>
  </si>
  <si>
    <t>70471503</t>
  </si>
  <si>
    <t>TOM d.o.o.</t>
  </si>
  <si>
    <t>704716</t>
  </si>
  <si>
    <t>Ekološke takse</t>
  </si>
  <si>
    <t>DRUGI DAVKI</t>
  </si>
  <si>
    <t>Drugi davki</t>
  </si>
  <si>
    <t>NEDAVČNI PRIHODKI</t>
  </si>
  <si>
    <t>(710+711+712+713+714)</t>
  </si>
  <si>
    <t xml:space="preserve">UDELEŽBA NA DOBIČKU IN DOHODKI </t>
  </si>
  <si>
    <t xml:space="preserve">      OD PREMOŽENJA</t>
  </si>
  <si>
    <t>Udeležba na dobičku javnih podjetij in jav. finan. instit.</t>
  </si>
  <si>
    <t>Prihodki iz naslova udeležbe na dobičku javnih podjetij</t>
  </si>
  <si>
    <t>71000000</t>
  </si>
  <si>
    <t>ZIM d.o.o.</t>
  </si>
  <si>
    <t>71000001</t>
  </si>
  <si>
    <t>Staninvest d.o.o.</t>
  </si>
  <si>
    <t>71000002</t>
  </si>
  <si>
    <t>ZUM d.o.o.</t>
  </si>
  <si>
    <t>71000003</t>
  </si>
  <si>
    <t>Geodetski zavod Maribor d.o.o.</t>
  </si>
  <si>
    <t>Prihodki od udeležbe na dobičku drugih podjetij</t>
  </si>
  <si>
    <t>710100</t>
  </si>
  <si>
    <t>Prejete dividende iz naslova finančnih naložb v podjetja</t>
  </si>
  <si>
    <t>71010000</t>
  </si>
  <si>
    <t>71010001</t>
  </si>
  <si>
    <t>71010002</t>
  </si>
  <si>
    <t>71010003</t>
  </si>
  <si>
    <t>Certus d.d.</t>
  </si>
  <si>
    <t>71010004</t>
  </si>
  <si>
    <t>Probanka d.d.</t>
  </si>
  <si>
    <t>71010005</t>
  </si>
  <si>
    <t>Pogrebno podjetje Maribor d.d.</t>
  </si>
  <si>
    <t>71010006</t>
  </si>
  <si>
    <t>Tržnice Maribor d.d.</t>
  </si>
  <si>
    <t>71010007</t>
  </si>
  <si>
    <t>STTC d.d.</t>
  </si>
  <si>
    <t>Prihodki od obresti</t>
  </si>
  <si>
    <t>710200</t>
  </si>
  <si>
    <t>Prihodki od obresti od sredstev na vpogled</t>
  </si>
  <si>
    <t>710201</t>
  </si>
  <si>
    <t>Prih. od obresti od vezanih tolarskih depozitov iz nenamen. sredstev</t>
  </si>
  <si>
    <t>Druge prejete obresti</t>
  </si>
  <si>
    <t>Prihodki od premoženja</t>
  </si>
  <si>
    <t>710301</t>
  </si>
  <si>
    <t>Prihodki od najemnin za poslovne prostore</t>
  </si>
  <si>
    <t>710302</t>
  </si>
  <si>
    <t>Prihodki od najemnin za stanovanja</t>
  </si>
  <si>
    <t>710304</t>
  </si>
  <si>
    <t>Prih.od drugih najemnin</t>
  </si>
  <si>
    <t>71030400</t>
  </si>
  <si>
    <t xml:space="preserve">prihodki od najemnin za upravne prostore </t>
  </si>
  <si>
    <t>71030401</t>
  </si>
  <si>
    <t>prihodki od najemnin za uporabo nezazidanih stavbnih zemljišč (vrtovi)</t>
  </si>
  <si>
    <t>71030402</t>
  </si>
  <si>
    <t>prihodki od najemnin javnih površin - za gostinske vrtove</t>
  </si>
  <si>
    <t>71030403</t>
  </si>
  <si>
    <t>prihodki od najemnin javnih površin - za kioske</t>
  </si>
  <si>
    <t>71030404</t>
  </si>
  <si>
    <t>prihodki od najemnin za Izobraževalni center Pekre</t>
  </si>
  <si>
    <t>71030405</t>
  </si>
  <si>
    <t>prihodki od parkirnin v modri coni</t>
  </si>
  <si>
    <t>71030406</t>
  </si>
  <si>
    <t>prihodki od parkirnin na javnih parkiriščih</t>
  </si>
  <si>
    <t>71030407</t>
  </si>
  <si>
    <t>prihodki od najemnin za stojnice</t>
  </si>
  <si>
    <t>71030408</t>
  </si>
  <si>
    <t>prihodki od prevoznin v peš coni</t>
  </si>
  <si>
    <t>71030409</t>
  </si>
  <si>
    <t>prihodki od najema jav. površin za prireditve in sejme</t>
  </si>
  <si>
    <t>71030410</t>
  </si>
  <si>
    <t>710305</t>
  </si>
  <si>
    <t>Prihodki od zakupnin</t>
  </si>
  <si>
    <t>710306</t>
  </si>
  <si>
    <t>Prihodki iz naslova podeljenih koncesij</t>
  </si>
  <si>
    <t>71030600</t>
  </si>
  <si>
    <t>prihodki od uporabe javne infrastrukture</t>
  </si>
  <si>
    <t>71030601</t>
  </si>
  <si>
    <t>prihodki od koncesije za opravljanje javnega mestnega prometa</t>
  </si>
  <si>
    <t>71030602</t>
  </si>
  <si>
    <t>prihodki od koncesije za distribucijo zemeljskega plina</t>
  </si>
  <si>
    <t>71030603</t>
  </si>
  <si>
    <t>prihodki od koncesije za upepeljevanje</t>
  </si>
  <si>
    <t>71030604</t>
  </si>
  <si>
    <t>prihodki od koncesij za oglaševanje</t>
  </si>
  <si>
    <t>71030605</t>
  </si>
  <si>
    <t>prihodki od koncesije za vzdrževanje in upravljanje tržnic</t>
  </si>
  <si>
    <t>71030606</t>
  </si>
  <si>
    <t>prihodki od koncesije za urejanje pokopališč in pogrebne storitve</t>
  </si>
  <si>
    <t>prihodki od koncesije za opravljanje dimnikarske dejavnosti</t>
  </si>
  <si>
    <t>71030608</t>
  </si>
  <si>
    <t>prih. od konc. za vzdržev. in urejanje javnih pešpoti in zelenih površin</t>
  </si>
  <si>
    <t>71030609</t>
  </si>
  <si>
    <t>prih. od koncesije za upravljanje s sistemom pohorskih žičnic in vlečnic</t>
  </si>
  <si>
    <t>71030610</t>
  </si>
  <si>
    <t>prihodki od koncesije za upravljanje nove avtobusne postaje</t>
  </si>
  <si>
    <t>Prihodki iz naslova koncesijskih dajatev od posebnih iger na srečo</t>
  </si>
  <si>
    <t>Zamudne obresti od koncesijskih dajatev od posebnih iger na srečo</t>
  </si>
  <si>
    <t>710399</t>
  </si>
  <si>
    <t>Drugi prihodki od premoženja</t>
  </si>
  <si>
    <t>71039900</t>
  </si>
  <si>
    <t>obratovalni stroški najemnikov upravnih prostorov</t>
  </si>
  <si>
    <t>71039901</t>
  </si>
  <si>
    <t>71039902</t>
  </si>
  <si>
    <t>uporabnina za odlaganje kom. odpadkov na deponijo Pobrežje</t>
  </si>
  <si>
    <t>TAKSE IN PRISTOJBINE</t>
  </si>
  <si>
    <t>Upravne takse</t>
  </si>
  <si>
    <t>711100</t>
  </si>
  <si>
    <t>711199</t>
  </si>
  <si>
    <t>Druge pristojbine</t>
  </si>
  <si>
    <t>DENARNE KAZNI</t>
  </si>
  <si>
    <t>Denarne kazni</t>
  </si>
  <si>
    <t>712001</t>
  </si>
  <si>
    <t>Denarne kazni za prekrške</t>
  </si>
  <si>
    <t>712005</t>
  </si>
  <si>
    <t>Denarne kazni v upravni izvršbi</t>
  </si>
  <si>
    <t>712007</t>
  </si>
  <si>
    <t>Nadomestilo za degradacijo in uzurpacijo prostora</t>
  </si>
  <si>
    <t>PRIHODKI OD PRODAJE BLAGA IN STORITEV</t>
  </si>
  <si>
    <t>Prihodki od prodaje blaga in storitev</t>
  </si>
  <si>
    <t>713000</t>
  </si>
  <si>
    <t>01</t>
  </si>
  <si>
    <t>02</t>
  </si>
  <si>
    <t>03</t>
  </si>
  <si>
    <t>04</t>
  </si>
  <si>
    <t>05</t>
  </si>
  <si>
    <t>06</t>
  </si>
  <si>
    <t>07</t>
  </si>
  <si>
    <t>08</t>
  </si>
  <si>
    <t>713003</t>
  </si>
  <si>
    <t>Prihodki od počitniške dejavnosti</t>
  </si>
  <si>
    <t>713099</t>
  </si>
  <si>
    <t>Drugi prihodki od prodaje</t>
  </si>
  <si>
    <t>71309900</t>
  </si>
  <si>
    <t>prihodki od prodaje storitev Komunalne inšpekcije</t>
  </si>
  <si>
    <t>71309901</t>
  </si>
  <si>
    <t>prihodki od prodaje storitev Zavoda za prostorsko načrtovanje</t>
  </si>
  <si>
    <t>71309902</t>
  </si>
  <si>
    <t>prihodki od prodaje storitev Odd. za gospodar. z obč. premož.</t>
  </si>
  <si>
    <t>71309903</t>
  </si>
  <si>
    <t>prihodki od prodaje storitev GIS</t>
  </si>
  <si>
    <t>71309904</t>
  </si>
  <si>
    <t>prihodki od  razpisne dokumentacije - natečaji (DD)</t>
  </si>
  <si>
    <t>71309905</t>
  </si>
  <si>
    <t>prihodki od razpisne dokumentacije - natečaji (poslovni prostori)</t>
  </si>
  <si>
    <t>71309906</t>
  </si>
  <si>
    <t>prihodki od razpisne dokumentacije - natečaji (KD)</t>
  </si>
  <si>
    <t>71309907</t>
  </si>
  <si>
    <t>prihodki od prodaje storitev vodniške službe (ZZT)</t>
  </si>
  <si>
    <t>71309908</t>
  </si>
  <si>
    <t>prihodki od promocijskih aktivnosti (ZZT)</t>
  </si>
  <si>
    <t>71309909</t>
  </si>
  <si>
    <t>prihodki od oglaševanja (ZZT)</t>
  </si>
  <si>
    <t>71309910</t>
  </si>
  <si>
    <t>prihodki od organizacije prireditev (ZZT)</t>
  </si>
  <si>
    <t>71309911</t>
  </si>
  <si>
    <t>za koledar turističnih prireditev (ZZT)</t>
  </si>
  <si>
    <t>71309912</t>
  </si>
  <si>
    <t>za usposabljanje turističnih delavcev (BSC Kranj)</t>
  </si>
  <si>
    <t>DRUGI NEDAVČNI PRIHODKI</t>
  </si>
  <si>
    <t>Drugi nedavčni prihodki</t>
  </si>
  <si>
    <t>714100</t>
  </si>
  <si>
    <t>sofinanciranje - BAUMAX</t>
  </si>
  <si>
    <t>71410000</t>
  </si>
  <si>
    <t>namenska sredstva za infrastrukturo MOM (Snaga)</t>
  </si>
  <si>
    <t>71410001</t>
  </si>
  <si>
    <t>ekološke takse - namen.sr.v ceni storitev za gradnjo CČN in kolektorja</t>
  </si>
  <si>
    <t>71410002</t>
  </si>
  <si>
    <t>ekološke takse - namen.sr.v ceni storitev za program gosp. z odpadki</t>
  </si>
  <si>
    <t>714105</t>
  </si>
  <si>
    <t>Prihodki od komunalnih prispevkov</t>
  </si>
  <si>
    <t>714106</t>
  </si>
  <si>
    <t>Prisp.in dopl.občanov za izvaj.določ.progr.tekoč.značaja(dom.oskrba)</t>
  </si>
  <si>
    <t>714107</t>
  </si>
  <si>
    <t>714108</t>
  </si>
  <si>
    <t>Sredstva za investicije, pridobljena z občinskimi samoprispevki</t>
  </si>
  <si>
    <t>714109</t>
  </si>
  <si>
    <t>Sredstva za investicije, pridobljena s krajevnimi samoprispevki</t>
  </si>
  <si>
    <t>714110</t>
  </si>
  <si>
    <t>Zamudne obresti od komunalnih prispevkov</t>
  </si>
  <si>
    <t>714199</t>
  </si>
  <si>
    <t>Drugi izredni nedavčni prihodki</t>
  </si>
  <si>
    <t>71419900</t>
  </si>
  <si>
    <t xml:space="preserve">prispevki občin za storitve v VVZ </t>
  </si>
  <si>
    <t>71419901</t>
  </si>
  <si>
    <t>drugi prihodki</t>
  </si>
  <si>
    <t>71419902</t>
  </si>
  <si>
    <t>zavarovalnica</t>
  </si>
  <si>
    <t>71419903</t>
  </si>
  <si>
    <t>provizija CEGOR</t>
  </si>
  <si>
    <t xml:space="preserve">KAPITALSKI PRIHODKI </t>
  </si>
  <si>
    <t>(720+721+722)</t>
  </si>
  <si>
    <t>PRIHODKI OD PRODAJE OSNOVNIH SREDSTEV</t>
  </si>
  <si>
    <t>Prihodki od prodaje zgradb in prostorov</t>
  </si>
  <si>
    <t>720000</t>
  </si>
  <si>
    <t>Prihodki od prodaje poslovnih objektov in poslovnih prostorov</t>
  </si>
  <si>
    <t>720001</t>
  </si>
  <si>
    <t>Prihodki od prodaje stanovanjskih objektov in stanovanj</t>
  </si>
  <si>
    <t>720099</t>
  </si>
  <si>
    <t>Prih. od prodaje drugih zgradb in prostorov (prodaja objektov MOM)</t>
  </si>
  <si>
    <t>PRIH. OD PRODAJE ZEMLJIŠČ IN NEMATER. PREMOŽ.</t>
  </si>
  <si>
    <t>Prihodki od prodaje stavbnih zemljišč</t>
  </si>
  <si>
    <t>722100</t>
  </si>
  <si>
    <t>72210000</t>
  </si>
  <si>
    <t>prihodki od prodaje stavbnih zemljišč</t>
  </si>
  <si>
    <t>72210001</t>
  </si>
  <si>
    <t>prihodki od prodaje stavbnih zemljišč - Interšpar</t>
  </si>
  <si>
    <t>72210002</t>
  </si>
  <si>
    <t>ostali prihodki stavbnih zemljišč</t>
  </si>
  <si>
    <t>PREJETE DONACIJE (730+731)</t>
  </si>
  <si>
    <t>PREJETE DONACIJE IZ TUJINE</t>
  </si>
  <si>
    <t>Prejete donacije iz tujine za tekočo porabo</t>
  </si>
  <si>
    <t>731000</t>
  </si>
  <si>
    <t>Prejete donacije od mednarodnih institucij za tekočo porabo</t>
  </si>
  <si>
    <t>TRANSFERNI PRIHODKI</t>
  </si>
  <si>
    <t xml:space="preserve">TRANSFERNI PRIHODKI IZ DRUGIH </t>
  </si>
  <si>
    <t xml:space="preserve">      JAVNOFINANČNIH INSTITUCIJ</t>
  </si>
  <si>
    <t>Prejeta sredstva iz državnega proračuna</t>
  </si>
  <si>
    <t>740000</t>
  </si>
  <si>
    <t>Prejeta sred. iz nasl. tekočih obvez. državnega proračuna</t>
  </si>
  <si>
    <t>74000000</t>
  </si>
  <si>
    <t>finančna izravnava - primanjkljaj iz leta 1999</t>
  </si>
  <si>
    <t>74000001</t>
  </si>
  <si>
    <t>finančna izravnava - nakazana v letu 2000</t>
  </si>
  <si>
    <t>740001</t>
  </si>
  <si>
    <t>Prejeta sredstva iz državnega proračuna za investicije</t>
  </si>
  <si>
    <t>74000100</t>
  </si>
  <si>
    <t>na področju športa</t>
  </si>
  <si>
    <t>74000101</t>
  </si>
  <si>
    <t>na področju šolstva</t>
  </si>
  <si>
    <t>74000102</t>
  </si>
  <si>
    <t>na področju kulture</t>
  </si>
  <si>
    <t>74000103</t>
  </si>
  <si>
    <t>na področju zdravstva</t>
  </si>
  <si>
    <t>74000104</t>
  </si>
  <si>
    <t>na področju lokalnih cest</t>
  </si>
  <si>
    <t>74000105</t>
  </si>
  <si>
    <t>na področju uprave (v l.1999 telefonija in ožičenje) - Vlada RS</t>
  </si>
  <si>
    <t>74000106</t>
  </si>
  <si>
    <t>na področju varstva pred požari</t>
  </si>
  <si>
    <t>74000107</t>
  </si>
  <si>
    <t>sofinanciranje ministrstev - MKGP, MOP, MPZ - KD</t>
  </si>
  <si>
    <t>74000108</t>
  </si>
  <si>
    <t>74000109</t>
  </si>
  <si>
    <t>MOP - za register stavb - GIS</t>
  </si>
  <si>
    <t>74000110</t>
  </si>
  <si>
    <t>MKGP - kmetijstvo</t>
  </si>
  <si>
    <t>740004</t>
  </si>
  <si>
    <t>Druga prejeta sredstva iz državnega proračuna za tekočo porabo</t>
  </si>
  <si>
    <t>74000400</t>
  </si>
  <si>
    <t>za štipendije, prevoze učencev (MŠŠ)</t>
  </si>
  <si>
    <t>74000401</t>
  </si>
  <si>
    <t>za javna dela (ZZZ)</t>
  </si>
  <si>
    <t>74000402</t>
  </si>
  <si>
    <t>za predšolsko vzgojo romskih otrok</t>
  </si>
  <si>
    <t>74000403</t>
  </si>
  <si>
    <t>za občinske programe za otroke in mladino</t>
  </si>
  <si>
    <t>74000404</t>
  </si>
  <si>
    <t>za pouk plavanja</t>
  </si>
  <si>
    <t>74000405</t>
  </si>
  <si>
    <t>MMGT - ZZT</t>
  </si>
  <si>
    <t>74000406</t>
  </si>
  <si>
    <t>MKGP - KD</t>
  </si>
  <si>
    <t>74000407</t>
  </si>
  <si>
    <t>MOP - ZPN</t>
  </si>
  <si>
    <t>Prejeta sredstva iz proračunov lokalnih skupnosti</t>
  </si>
  <si>
    <t>740100</t>
  </si>
  <si>
    <t>Prejeta sredstva iz proračunov lokalnih skupnosti za tekočo porabo</t>
  </si>
  <si>
    <t>za mladinsko raziskovalno dejavnost</t>
  </si>
  <si>
    <t>sofin. deleži drugih občin pri financiranju redne dejav. kult.zavodov</t>
  </si>
  <si>
    <t>740101</t>
  </si>
  <si>
    <t>Prejeta sredstva iz proračunov lokalnih skupnosti za investicije</t>
  </si>
  <si>
    <t>74010100</t>
  </si>
  <si>
    <t>za uporabo odlagališča odpadkov</t>
  </si>
  <si>
    <t>74010101</t>
  </si>
  <si>
    <t>za sanacijo odlagališča odpadkov</t>
  </si>
  <si>
    <t>74010102</t>
  </si>
  <si>
    <t>za odškodnino za zmanjšanje kakovosti bivalnega okolja</t>
  </si>
  <si>
    <t>74010103</t>
  </si>
  <si>
    <t>za CEGOR</t>
  </si>
  <si>
    <t>74010104</t>
  </si>
  <si>
    <t>za akcije MČ in KS</t>
  </si>
  <si>
    <t>74010105</t>
  </si>
  <si>
    <t>turistična obmejna cona - kolesarske poti</t>
  </si>
  <si>
    <t>PRENOS PRIHODKOV IN DR. PREJEMKOV</t>
  </si>
  <si>
    <t>II.</t>
  </si>
  <si>
    <t>S K U P A J   O D H O D K I</t>
  </si>
  <si>
    <t>(40+41+42+43)</t>
  </si>
  <si>
    <t>TEKOČI  ODHODKI</t>
  </si>
  <si>
    <t>(400+401+402+403+404+409)</t>
  </si>
  <si>
    <t>PLAČE IN DRUGI IZDATKI ZAPOSLENIM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</si>
  <si>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</si>
  <si>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</si>
  <si>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</si>
  <si>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</si>
  <si>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</si>
  <si>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Plače za delo po pogodbi</t>
  </si>
  <si>
    <t>Drugi izdatki zaposlenim</t>
  </si>
  <si>
    <t>PRISP. DELODAJALCEV ZA SOCIALNO VARNOST</t>
  </si>
  <si>
    <t>Prispevek za pokojninsko in invalidsko zavarovanje</t>
  </si>
  <si>
    <t>Prispevek za zdravstveno zavarovanje</t>
  </si>
  <si>
    <t>Prispevek za zaposlovanje</t>
  </si>
  <si>
    <t>Prispevek za porodniško varstvo</t>
  </si>
  <si>
    <t>IZDATKI ZA BLAGO IN STORITVE</t>
  </si>
  <si>
    <t>Pisarniški in splošni material in storitve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</si>
  <si>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</si>
  <si>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</si>
  <si>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</si>
  <si>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</si>
  <si>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</si>
  <si>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Najemnine in zakupnine (leasing)</t>
  </si>
  <si>
    <t>Kazni in odškodnine</t>
  </si>
  <si>
    <t>Drugi operativni odhodki</t>
  </si>
  <si>
    <t>PLAČILA DOMAČIH OBRESTI</t>
  </si>
  <si>
    <t>Plačila obresti od kreditov poslovnim bankam</t>
  </si>
  <si>
    <t>Plač. obresti od kred. drugim domačim kreditodajalcem</t>
  </si>
  <si>
    <t>REZERVE</t>
  </si>
  <si>
    <t>Splošna proračunska rezervacija</t>
  </si>
  <si>
    <t>Proračunska rezerva</t>
  </si>
  <si>
    <t>Druge rezerve</t>
  </si>
  <si>
    <t>TEKOČI  TRANSFERI</t>
  </si>
  <si>
    <t>(410+411+412+413+414)</t>
  </si>
  <si>
    <t>SUBVENCIJE</t>
  </si>
  <si>
    <t>Subvencije javnim podjetjem</t>
  </si>
  <si>
    <t>Subvencije finančnim institucijam</t>
  </si>
  <si>
    <t>Subvencije privatnim podjetjem in zasebnikom</t>
  </si>
  <si>
    <t>TRANSFERI POSAMEZNIKOM IN GOSPODINJSTVOM</t>
  </si>
  <si>
    <t>Transferi nezaposlenim</t>
  </si>
  <si>
    <t>Družinski prejemki in starševska nadomestila</t>
  </si>
  <si>
    <t>Transferi za zagotavljanje socialne varnosti</t>
  </si>
  <si>
    <t>Transferi vojnim invalidom, veteranom in žrtvam voj. nasilja</t>
  </si>
  <si>
    <t>Štipendije</t>
  </si>
  <si>
    <t>Drugi transferi posameznikom</t>
  </si>
  <si>
    <t>TRANSFERI NEPROFITNIM ORGANIZACIJAM IN</t>
  </si>
  <si>
    <t>USTANOVAM</t>
  </si>
  <si>
    <t>Tekoči transferi neprofitnim organizacijam in ustanovam</t>
  </si>
  <si>
    <t>DRUGI TEKOČI DOMAČI TRANSFERI</t>
  </si>
  <si>
    <t>Tekoči transferi drugim ravnem države</t>
  </si>
  <si>
    <t>Tekoči transferi v sklade socialnega zavarovanja</t>
  </si>
  <si>
    <t>Tekoči transferi v druge javne sklade in agencije</t>
  </si>
  <si>
    <t>Tekoči transferi v javne zavode in dr. izvajalce jav. služb</t>
  </si>
  <si>
    <t>TEKOČI TRANSFERI V TUJINO</t>
  </si>
  <si>
    <t>Tekoči transferi mednarodnim institucijam</t>
  </si>
  <si>
    <t>Tekoči transferi neprofitnim organizacijam v tujino</t>
  </si>
  <si>
    <t>INVESTICIJSKI  ODHODKI  (420)</t>
  </si>
  <si>
    <t>NAKUP IN GRADNJA OSNOVNIH SREDSTEV</t>
  </si>
  <si>
    <t>Nakup zgradb in prostorov</t>
  </si>
  <si>
    <t>Nakup prevoznih sredstev</t>
  </si>
  <si>
    <t>Nakup opreme</t>
  </si>
  <si>
    <t>Nakup drugih osnovnih sredstev</t>
  </si>
  <si>
    <t>Novogradnje, rekonstrukcije in adaptacije</t>
  </si>
  <si>
    <t>Investicijsko vzdrževanje in obnove</t>
  </si>
  <si>
    <t>Nakup zemljišč in naravnih bogastev</t>
  </si>
  <si>
    <t>Nakup nematerialnega premoženja</t>
  </si>
  <si>
    <t>Študije o izvedlj.projektov,proj.dokum.,nadzor in inv. inženir.</t>
  </si>
  <si>
    <t>INVESTICIJSKI  TRANSFERI  (430)</t>
  </si>
  <si>
    <t>INVESTICIJSKI TRANSFERI</t>
  </si>
  <si>
    <t>Investicijski transferi drugim ravnem države</t>
  </si>
  <si>
    <t>Investicijski transferi javnim skladom in agencijam</t>
  </si>
  <si>
    <t>Investicijski transferi neprofitnim organizacijam</t>
  </si>
  <si>
    <t>Investicijski transferi javnim podjetjem</t>
  </si>
  <si>
    <t>Kapitalski transferi finančnim institucijam</t>
  </si>
  <si>
    <t>Investicijski transferi privatnim podjetjem in zasebnikom</t>
  </si>
  <si>
    <t>Investicijski transferi posameznikom</t>
  </si>
  <si>
    <t>Inv. transferi javnim zavodom in javnim gosp. zavodom</t>
  </si>
  <si>
    <t>Investicijski transferi v tujino</t>
  </si>
  <si>
    <t>III.</t>
  </si>
  <si>
    <t>PRORAČUNSKI  PRESEŽEK</t>
  </si>
  <si>
    <t>(PRIMANJKLJAJ)  (I. - II.)</t>
  </si>
  <si>
    <t>(SKUPAJ PRIHODKI MINUS SKUPAJ ODHODKI)</t>
  </si>
  <si>
    <t>B.</t>
  </si>
  <si>
    <t>RAČUN  FINANČNIH  TERJATEV  IN  NALOŽB</t>
  </si>
  <si>
    <t>IV.</t>
  </si>
  <si>
    <t>PREJETA  VRAČILA  DANIH  POSOJIL  IN</t>
  </si>
  <si>
    <t xml:space="preserve">PRODAJA  KAPITALSKIH  DELEŽEV  </t>
  </si>
  <si>
    <t>(750+751)</t>
  </si>
  <si>
    <t>PREJETA VRAČILA DANIH POSOJIL</t>
  </si>
  <si>
    <t>Prejeta vračila danih posojil od posameznikov</t>
  </si>
  <si>
    <t>Prejeta vračila danih posojil od finančnih institucij</t>
  </si>
  <si>
    <t>PRODAJA KAPITALSKIH DELEŽEV</t>
  </si>
  <si>
    <t>Sred., pridoblj. s prodajo kap. deležev v javnih podjetjih</t>
  </si>
  <si>
    <t>Sred., pridoblj. s prodajo kap. deležev v finanč. instituc.</t>
  </si>
  <si>
    <t>Sred., pridoblj. s prodajo kap. deležev v privat. podjetjih</t>
  </si>
  <si>
    <t>V.</t>
  </si>
  <si>
    <t>DANA  POSOJILA  IN  POVEČANJE</t>
  </si>
  <si>
    <t>KAPITALSKIH  DELEŽEV  (440+441)</t>
  </si>
  <si>
    <t>DANA POSOJILA</t>
  </si>
  <si>
    <t>Dana posojila posameznikom</t>
  </si>
  <si>
    <t>Dana posojila javnim skladom</t>
  </si>
  <si>
    <t>Dana posojila javnim podjetjem</t>
  </si>
  <si>
    <t>Dana posojila finančnim institucijam</t>
  </si>
  <si>
    <t>Dana posojila privatnim podjetjem</t>
  </si>
  <si>
    <t>Dana posojila drugim ravnem države</t>
  </si>
  <si>
    <t>Dana posojila v tujino</t>
  </si>
  <si>
    <t>POVEČANJE KAPITALSKIH DELEŽEV</t>
  </si>
  <si>
    <t>Povečanje kapitalskih deležev v javnih podjetjih</t>
  </si>
  <si>
    <t>Povečanje kapitalskih deležev v finančnih institucijah</t>
  </si>
  <si>
    <t>Povečanje kapitalskih deležev v privatnih podjetjih</t>
  </si>
  <si>
    <t>Skupna vlaganja (joint ventures)</t>
  </si>
  <si>
    <t>Povečanje kapitalskih deležev v tujino</t>
  </si>
  <si>
    <t>VI.</t>
  </si>
  <si>
    <t>PREJETA  MINUS  DANA  POSOJILA  IN</t>
  </si>
  <si>
    <t>SPREMEMBE  KAPITALSKIH  DELEŽEV</t>
  </si>
  <si>
    <t>(IV. - V.)</t>
  </si>
  <si>
    <t>VII.</t>
  </si>
  <si>
    <t>SKUPNI  PRESEŽEK  (PRIMANJKLJAJ)</t>
  </si>
  <si>
    <t>(I. + IV.) - (II. + V.)</t>
  </si>
  <si>
    <t>(PRIHODKI IN PREJETA VRAČILA DANIH POSOJIL</t>
  </si>
  <si>
    <t>MINUS ODHODKI IN DANA POSOJILA)</t>
  </si>
  <si>
    <t>C.</t>
  </si>
  <si>
    <t>RAČUN  FINANCIRANJA</t>
  </si>
  <si>
    <t>VIII.</t>
  </si>
  <si>
    <t>ZADOLŽEVANJE  (500+501)</t>
  </si>
  <si>
    <t>DOMAČE ZADOLŽEVANJE</t>
  </si>
  <si>
    <t>Najeti krediti pri poslovnih bankah</t>
  </si>
  <si>
    <t>IX.</t>
  </si>
  <si>
    <t>ODPLAČILA  DOLGA  (550+551)</t>
  </si>
  <si>
    <t>ODPLAČILA DOMAČEGA DOLGA</t>
  </si>
  <si>
    <t>Odplačila kreditov poslovnim bankam</t>
  </si>
  <si>
    <t>Odplačila kreditov drugim domačim kreditodajalcem</t>
  </si>
  <si>
    <t>X.</t>
  </si>
  <si>
    <t>NETO  ZADOLŽEVANJE  (VIII. - IX.)</t>
  </si>
  <si>
    <t>XI.</t>
  </si>
  <si>
    <t>POVEČANJE  (ZMANJŠANJE)  SREDSTEV</t>
  </si>
  <si>
    <t xml:space="preserve">NA  RAČUNIH </t>
  </si>
  <si>
    <t>(III.+VI.+ X.)=(I.+IV.+VIII.)-(II.+V.+IX.)</t>
  </si>
  <si>
    <t>XII.</t>
  </si>
  <si>
    <t>STANJE SREDSTEV NA RAČUNU</t>
  </si>
  <si>
    <t>XIII.</t>
  </si>
  <si>
    <t>Skupaj prihodki</t>
  </si>
  <si>
    <t>I/2000</t>
  </si>
  <si>
    <t>4:3</t>
  </si>
  <si>
    <t>Formule</t>
  </si>
  <si>
    <t>Prihodki od prodaje prevoznih sredstev</t>
  </si>
  <si>
    <t>Prihodki od prodaje cestnih motornih vozil</t>
  </si>
  <si>
    <t>71010008</t>
  </si>
  <si>
    <t>13.4.2000</t>
  </si>
  <si>
    <t>Cestno podjetje Maribor d.d.</t>
  </si>
  <si>
    <t>prihodki od drugih najemnin - ostalo JPGSZ</t>
  </si>
  <si>
    <t>za kanalizacijo v KS in MČ</t>
  </si>
  <si>
    <t>najemniki poslovnih prostorov</t>
  </si>
  <si>
    <t>Prisp. in doplač.občanov za izvaj. progr.investic.značaja</t>
  </si>
  <si>
    <t>KONEC PRETEKLEGA LETA (1999)</t>
  </si>
  <si>
    <t>KONEC TEKOČEGA LETA (2000) (XI.+XII.)</t>
  </si>
  <si>
    <t>Prihodki od prodaje druge opreme</t>
  </si>
  <si>
    <t>I - II/2000</t>
  </si>
  <si>
    <t>26.4.2000</t>
  </si>
  <si>
    <t>I - IV/2000</t>
  </si>
  <si>
    <t>Plačila obresti od vrednostnih papirjev</t>
  </si>
  <si>
    <t>24.5.2000</t>
  </si>
  <si>
    <t>MF - odprava posledic po neurju</t>
  </si>
  <si>
    <t xml:space="preserve">Rebalans </t>
  </si>
  <si>
    <t>Prihodki od obresti od vezanih tolarsih depozitov iz ostalih namen. sred.</t>
  </si>
  <si>
    <t>710205</t>
  </si>
  <si>
    <t>za sof.stroš.objekta in oskrbnika - Bolfenk - Uprava RS za var. narave</t>
  </si>
  <si>
    <t>I - V/2000</t>
  </si>
  <si>
    <t>74010005</t>
  </si>
  <si>
    <t>74010006</t>
  </si>
  <si>
    <t>12.6.2000</t>
  </si>
  <si>
    <t>Prihodki od prodaje opreme</t>
  </si>
  <si>
    <t>15.6.00</t>
  </si>
  <si>
    <t>I - VI/2000</t>
  </si>
  <si>
    <t>Tekoči transferi tujim vladnim institucijam</t>
  </si>
  <si>
    <t>19.7.00</t>
  </si>
  <si>
    <t>real.</t>
  </si>
  <si>
    <t>21.7.00</t>
  </si>
  <si>
    <t xml:space="preserve">PREJETE DONACIJE </t>
  </si>
  <si>
    <t>7111002</t>
  </si>
  <si>
    <t>Struk.</t>
  </si>
  <si>
    <t>I-VI/1999</t>
  </si>
  <si>
    <t>5:3</t>
  </si>
  <si>
    <t>Primerljiva realizacija</t>
  </si>
  <si>
    <t>5:4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</si>
</sst>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"/>
    <numFmt numFmtId="165" formatCode="0.0"/>
    <numFmt numFmtId="166" formatCode="0.0%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8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 quotePrefix="1">
      <alignment horizontal="right"/>
    </xf>
    <xf numFmtId="0" fontId="6" fillId="0" borderId="0" xfId="0" applyFont="1" applyBorder="1" applyAlignment="1" quotePrefix="1">
      <alignment horizontal="right"/>
    </xf>
    <xf numFmtId="0" fontId="0" fillId="0" borderId="1" xfId="0" applyBorder="1" applyAlignment="1">
      <alignment/>
    </xf>
    <xf numFmtId="0" fontId="6" fillId="0" borderId="1" xfId="0" applyFont="1" applyBorder="1" applyAlignment="1" quotePrefix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Alignment="1">
      <alignment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3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8" fillId="0" borderId="0" xfId="0" applyFont="1" applyAlignment="1" quotePrefix="1">
      <alignment/>
    </xf>
    <xf numFmtId="3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 quotePrefix="1">
      <alignment/>
    </xf>
    <xf numFmtId="0" fontId="9" fillId="0" borderId="0" xfId="0" applyFont="1" applyAlignment="1" quotePrefix="1">
      <alignment horizontal="left"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0" xfId="0" applyFont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8" fillId="0" borderId="4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5" xfId="0" applyFont="1" applyBorder="1" applyAlignment="1" quotePrefix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8" fillId="0" borderId="5" xfId="0" applyFont="1" applyBorder="1" applyAlignment="1">
      <alignment/>
    </xf>
    <xf numFmtId="0" fontId="1" fillId="0" borderId="0" xfId="0" applyFont="1" applyAlignment="1" quotePrefix="1">
      <alignment/>
    </xf>
    <xf numFmtId="0" fontId="8" fillId="0" borderId="6" xfId="0" applyFont="1" applyBorder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8" fillId="0" borderId="7" xfId="0" applyFont="1" applyBorder="1" applyAlignment="1">
      <alignment horizontal="left"/>
    </xf>
    <xf numFmtId="16" fontId="0" fillId="0" borderId="0" xfId="0" applyNumberFormat="1" applyAlignment="1" quotePrefix="1">
      <alignment/>
    </xf>
    <xf numFmtId="16" fontId="8" fillId="0" borderId="0" xfId="0" applyNumberFormat="1" applyFont="1" applyAlignment="1" quotePrefix="1">
      <alignment/>
    </xf>
    <xf numFmtId="0" fontId="8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0" xfId="0" applyFont="1" applyAlignment="1" quotePrefix="1">
      <alignment/>
    </xf>
    <xf numFmtId="0" fontId="8" fillId="0" borderId="5" xfId="0" applyFont="1" applyBorder="1" applyAlignment="1">
      <alignment/>
    </xf>
    <xf numFmtId="0" fontId="0" fillId="0" borderId="8" xfId="0" applyBorder="1" applyAlignment="1">
      <alignment horizontal="center"/>
    </xf>
    <xf numFmtId="4" fontId="1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4" fontId="10" fillId="0" borderId="0" xfId="0" applyNumberFormat="1" applyFont="1" applyAlignment="1">
      <alignment/>
    </xf>
    <xf numFmtId="1" fontId="6" fillId="0" borderId="0" xfId="0" applyNumberFormat="1" applyFont="1" applyAlignment="1" quotePrefix="1">
      <alignment horizontal="left"/>
    </xf>
    <xf numFmtId="3" fontId="1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3" fontId="6" fillId="0" borderId="0" xfId="0" applyNumberFormat="1" applyFont="1" applyAlignment="1" quotePrefix="1">
      <alignment horizontal="right"/>
    </xf>
    <xf numFmtId="3" fontId="6" fillId="0" borderId="1" xfId="0" applyNumberFormat="1" applyFont="1" applyBorder="1" applyAlignment="1" quotePrefix="1">
      <alignment horizontal="right"/>
    </xf>
    <xf numFmtId="0" fontId="0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DENKA\Plan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rač-prihodki"/>
      <sheetName val="prorač-prihodki (2)"/>
      <sheetName val="splošni del-bilanca"/>
      <sheetName val="splošni del-bilanca (2)"/>
      <sheetName val="odhodki-post-konti"/>
      <sheetName val="odhodki-post-konti (2)"/>
      <sheetName val="odhodki-postavke "/>
      <sheetName val="šifrant"/>
      <sheetName val="odhodki-postavke  (2)"/>
      <sheetName val="šifre-KD"/>
      <sheetName val="DD"/>
      <sheetName val="skupine postavk"/>
      <sheetName val="razdelki"/>
      <sheetName val="razdelki (2)"/>
      <sheetName val="prenos99"/>
      <sheetName val="odd.za finance"/>
      <sheetName val="List10"/>
      <sheetName val="List11"/>
      <sheetName val="List12"/>
      <sheetName val="List13"/>
      <sheetName val="List14"/>
      <sheetName val="List15"/>
      <sheetName val="List16"/>
    </sheetNames>
    <sheetDataSet>
      <sheetData sheetId="4">
        <row r="1410">
          <cell r="K1410">
            <v>652733100</v>
          </cell>
          <cell r="L1410">
            <v>26932300</v>
          </cell>
          <cell r="M1410">
            <v>51746800</v>
          </cell>
          <cell r="N1410">
            <v>22196500</v>
          </cell>
          <cell r="O1410">
            <v>6590000</v>
          </cell>
          <cell r="P1410">
            <v>0</v>
          </cell>
          <cell r="Q1410">
            <v>5370500</v>
          </cell>
          <cell r="R1410">
            <v>60314500</v>
          </cell>
          <cell r="S1410">
            <v>46956600</v>
          </cell>
          <cell r="T1410">
            <v>409000</v>
          </cell>
          <cell r="U1410">
            <v>681700</v>
          </cell>
          <cell r="V1410">
            <v>290095700</v>
          </cell>
          <cell r="W1410">
            <v>9921200</v>
          </cell>
          <cell r="X1410">
            <v>96762300</v>
          </cell>
          <cell r="Y1410">
            <v>12150000</v>
          </cell>
          <cell r="Z1410">
            <v>16291000</v>
          </cell>
          <cell r="AA1410">
            <v>102819000</v>
          </cell>
          <cell r="AB1410">
            <v>54600000</v>
          </cell>
          <cell r="AC1410">
            <v>180203000</v>
          </cell>
          <cell r="AD1410">
            <v>245310400</v>
          </cell>
          <cell r="AE1410">
            <v>200000</v>
          </cell>
          <cell r="AF1410">
            <v>22900000</v>
          </cell>
          <cell r="AG1410">
            <v>22630430</v>
          </cell>
          <cell r="AH1410">
            <v>26000000</v>
          </cell>
          <cell r="AI1410">
            <v>70500000</v>
          </cell>
          <cell r="AJ1410">
            <v>112445900</v>
          </cell>
          <cell r="AK1410">
            <v>2204935600</v>
          </cell>
          <cell r="AL1410">
            <v>505411270</v>
          </cell>
          <cell r="AM1410">
            <v>36500000</v>
          </cell>
          <cell r="AN1410">
            <v>133836400</v>
          </cell>
          <cell r="AO1410">
            <v>384720000</v>
          </cell>
          <cell r="AP1410">
            <v>3084996900</v>
          </cell>
          <cell r="AQ1410">
            <v>200000</v>
          </cell>
          <cell r="AR1410">
            <v>0</v>
          </cell>
          <cell r="AS1410">
            <v>116900000</v>
          </cell>
          <cell r="AT1410">
            <v>210014000</v>
          </cell>
          <cell r="AU1410">
            <v>8000000</v>
          </cell>
          <cell r="AV1410">
            <v>387714700</v>
          </cell>
          <cell r="AW1410">
            <v>121200000</v>
          </cell>
          <cell r="AX1410">
            <v>349800000</v>
          </cell>
          <cell r="AY1410">
            <v>272045000</v>
          </cell>
          <cell r="BA1410">
            <v>591700000</v>
          </cell>
          <cell r="BC1410">
            <v>1295768900</v>
          </cell>
          <cell r="BG1410">
            <v>2966241300</v>
          </cell>
        </row>
      </sheetData>
      <sheetData sheetId="5">
        <row r="1397">
          <cell r="J1397">
            <v>608390750</v>
          </cell>
          <cell r="K1397">
            <v>24620700</v>
          </cell>
          <cell r="L1397">
            <v>47812750</v>
          </cell>
          <cell r="M1397">
            <v>16681950</v>
          </cell>
          <cell r="N1397">
            <v>5960300</v>
          </cell>
          <cell r="O1397">
            <v>0</v>
          </cell>
          <cell r="P1397">
            <v>8615150</v>
          </cell>
          <cell r="Q1397">
            <v>55551600</v>
          </cell>
          <cell r="R1397">
            <v>43248750</v>
          </cell>
          <cell r="S1397">
            <v>376800</v>
          </cell>
          <cell r="T1397">
            <v>627900</v>
          </cell>
          <cell r="U1397">
            <v>289975696</v>
          </cell>
          <cell r="V1397">
            <v>8121200</v>
          </cell>
          <cell r="W1397">
            <v>95108400</v>
          </cell>
          <cell r="X1397">
            <v>12150000</v>
          </cell>
          <cell r="Y1397">
            <v>14923000</v>
          </cell>
          <cell r="Z1397">
            <v>87662900</v>
          </cell>
          <cell r="AA1397">
            <v>54877400</v>
          </cell>
          <cell r="AB1397">
            <v>163783000</v>
          </cell>
          <cell r="AC1397">
            <v>256975650</v>
          </cell>
          <cell r="AD1397">
            <v>250000</v>
          </cell>
          <cell r="AE1397">
            <v>22450000</v>
          </cell>
          <cell r="AF1397">
            <v>9073981</v>
          </cell>
          <cell r="AG1397">
            <v>62000000</v>
          </cell>
          <cell r="AH1397">
            <v>0</v>
          </cell>
          <cell r="AI1397">
            <v>96588600</v>
          </cell>
          <cell r="AJ1397">
            <v>1601700</v>
          </cell>
          <cell r="AK1397">
            <v>1993363000</v>
          </cell>
          <cell r="AL1397">
            <v>505993986</v>
          </cell>
          <cell r="AM1397">
            <v>45500000</v>
          </cell>
          <cell r="AN1397">
            <v>130000000</v>
          </cell>
          <cell r="AO1397">
            <v>312200000</v>
          </cell>
          <cell r="AQ1397">
            <v>0</v>
          </cell>
          <cell r="AR1397">
            <v>0</v>
          </cell>
          <cell r="AS1397">
            <v>108240000</v>
          </cell>
          <cell r="AT1397">
            <v>96257000</v>
          </cell>
          <cell r="AU1397">
            <v>1500000</v>
          </cell>
          <cell r="AV1397">
            <v>671291275</v>
          </cell>
          <cell r="AW1397">
            <v>93385800</v>
          </cell>
          <cell r="AX1397">
            <v>215915751</v>
          </cell>
          <cell r="AY1397">
            <v>159488185</v>
          </cell>
          <cell r="BC1397">
            <v>1885305900</v>
          </cell>
          <cell r="BG1397">
            <v>2570857241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90"/>
  <sheetViews>
    <sheetView zoomScale="85" zoomScaleNormal="85" workbookViewId="0" topLeftCell="A1">
      <pane ySplit="5" topLeftCell="BM440" activePane="bottomLeft" state="frozen"/>
      <selection pane="topLeft" activeCell="A1" sqref="A1"/>
      <selection pane="bottomLeft" activeCell="AF1" sqref="AF1:AF16384"/>
    </sheetView>
  </sheetViews>
  <sheetFormatPr defaultColWidth="9.00390625" defaultRowHeight="12.75"/>
  <cols>
    <col min="1" max="1" width="7.875" style="0" customWidth="1"/>
    <col min="2" max="2" width="4.625" style="0" customWidth="1"/>
    <col min="3" max="3" width="51.125" style="0" customWidth="1"/>
    <col min="4" max="4" width="18.00390625" style="0" hidden="1" customWidth="1"/>
    <col min="5" max="5" width="17.375" style="0" hidden="1" customWidth="1"/>
    <col min="6" max="6" width="9.875" style="0" hidden="1" customWidth="1"/>
    <col min="7" max="8" width="17.375" style="0" hidden="1" customWidth="1"/>
    <col min="9" max="9" width="9.375" style="0" hidden="1" customWidth="1"/>
    <col min="10" max="10" width="8.25390625" style="0" hidden="1" customWidth="1"/>
    <col min="11" max="14" width="16.875" style="0" hidden="1" customWidth="1"/>
    <col min="15" max="15" width="7.00390625" style="0" hidden="1" customWidth="1"/>
    <col min="16" max="16" width="18.00390625" style="0" hidden="1" customWidth="1"/>
    <col min="17" max="18" width="7.375" style="0" hidden="1" customWidth="1"/>
    <col min="19" max="19" width="7.75390625" style="0" hidden="1" customWidth="1"/>
    <col min="20" max="21" width="16.875" style="0" hidden="1" customWidth="1"/>
    <col min="22" max="23" width="14.125" style="0" hidden="1" customWidth="1"/>
    <col min="24" max="24" width="14.625" style="0" hidden="1" customWidth="1"/>
    <col min="25" max="25" width="18.00390625" style="0" hidden="1" customWidth="1"/>
    <col min="26" max="26" width="8.75390625" style="0" hidden="1" customWidth="1"/>
    <col min="27" max="27" width="19.75390625" style="0" hidden="1" customWidth="1"/>
    <col min="28" max="28" width="18.00390625" style="0" hidden="1" customWidth="1"/>
    <col min="29" max="29" width="8.75390625" style="0" hidden="1" customWidth="1"/>
    <col min="30" max="30" width="18.00390625" style="0" hidden="1" customWidth="1"/>
    <col min="31" max="31" width="9.125" style="0" hidden="1" customWidth="1"/>
    <col min="32" max="32" width="22.625" style="0" customWidth="1"/>
    <col min="33" max="33" width="17.625" style="25" customWidth="1"/>
    <col min="34" max="34" width="20.00390625" style="0" hidden="1" customWidth="1"/>
    <col min="35" max="35" width="7.00390625" style="0" hidden="1" customWidth="1"/>
    <col min="36" max="36" width="19.75390625" style="0" customWidth="1"/>
    <col min="37" max="37" width="7.00390625" style="0" customWidth="1"/>
  </cols>
  <sheetData>
    <row r="1" spans="1:37" s="3" customFormat="1" ht="18">
      <c r="A1" s="1" t="s">
        <v>0</v>
      </c>
      <c r="B1" s="2" t="s">
        <v>1</v>
      </c>
      <c r="J1" s="4"/>
      <c r="K1" s="4"/>
      <c r="L1" s="4"/>
      <c r="M1" s="4"/>
      <c r="N1" s="4"/>
      <c r="O1" s="4"/>
      <c r="P1" s="5" t="s">
        <v>2</v>
      </c>
      <c r="Q1" s="4"/>
      <c r="R1" s="4"/>
      <c r="S1" s="4"/>
      <c r="T1" s="5" t="s">
        <v>2</v>
      </c>
      <c r="U1" s="5" t="s">
        <v>3</v>
      </c>
      <c r="Y1" s="101" t="s">
        <v>585</v>
      </c>
      <c r="AB1" s="101" t="s">
        <v>595</v>
      </c>
      <c r="AD1" s="101" t="s">
        <v>598</v>
      </c>
      <c r="AG1" s="108" t="s">
        <v>607</v>
      </c>
      <c r="AH1" s="101" t="s">
        <v>609</v>
      </c>
      <c r="AI1" s="4"/>
      <c r="AJ1" s="101" t="s">
        <v>612</v>
      </c>
      <c r="AK1" s="4"/>
    </row>
    <row r="2" spans="1:37" ht="12.75">
      <c r="A2" s="6"/>
      <c r="B2" s="6"/>
      <c r="C2" s="6"/>
      <c r="D2" s="6"/>
      <c r="E2" s="6"/>
      <c r="F2" s="6"/>
      <c r="G2" s="6"/>
      <c r="H2" s="6"/>
      <c r="I2" s="6"/>
      <c r="J2" s="7" t="s">
        <v>4</v>
      </c>
      <c r="K2" s="7" t="s">
        <v>5</v>
      </c>
      <c r="L2" s="7" t="s">
        <v>6</v>
      </c>
      <c r="M2" s="7"/>
      <c r="N2" s="7"/>
      <c r="O2" s="7"/>
      <c r="P2" s="7"/>
      <c r="Q2" s="7"/>
      <c r="R2" s="7"/>
      <c r="S2" s="7"/>
      <c r="T2" s="7"/>
      <c r="U2" s="7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71"/>
      <c r="AH2" s="6"/>
      <c r="AI2" s="7"/>
      <c r="AJ2" s="6"/>
      <c r="AK2" s="7"/>
    </row>
    <row r="3" spans="1:37" ht="12.75">
      <c r="A3" s="8" t="s">
        <v>7</v>
      </c>
      <c r="B3" s="9"/>
      <c r="C3" s="9" t="s">
        <v>8</v>
      </c>
      <c r="D3" s="9" t="s">
        <v>9</v>
      </c>
      <c r="E3" s="9" t="s">
        <v>10</v>
      </c>
      <c r="F3" s="9" t="s">
        <v>11</v>
      </c>
      <c r="G3" s="9" t="s">
        <v>9</v>
      </c>
      <c r="H3" s="9" t="s">
        <v>12</v>
      </c>
      <c r="I3" s="9" t="s">
        <v>11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10</v>
      </c>
      <c r="O3" s="9" t="s">
        <v>17</v>
      </c>
      <c r="P3" s="9" t="s">
        <v>18</v>
      </c>
      <c r="Q3" s="9" t="s">
        <v>17</v>
      </c>
      <c r="R3" s="9" t="s">
        <v>17</v>
      </c>
      <c r="S3" s="9" t="s">
        <v>17</v>
      </c>
      <c r="T3" s="9" t="s">
        <v>19</v>
      </c>
      <c r="U3" s="9" t="s">
        <v>9</v>
      </c>
      <c r="V3" s="9" t="s">
        <v>16</v>
      </c>
      <c r="W3" s="9" t="s">
        <v>20</v>
      </c>
      <c r="X3" s="9" t="s">
        <v>21</v>
      </c>
      <c r="Y3" s="9" t="s">
        <v>10</v>
      </c>
      <c r="Z3" s="9" t="s">
        <v>11</v>
      </c>
      <c r="AA3" s="9" t="s">
        <v>581</v>
      </c>
      <c r="AB3" s="9" t="s">
        <v>10</v>
      </c>
      <c r="AC3" s="9" t="s">
        <v>11</v>
      </c>
      <c r="AD3" s="9" t="s">
        <v>10</v>
      </c>
      <c r="AE3" s="9" t="s">
        <v>11</v>
      </c>
      <c r="AF3" s="9" t="s">
        <v>10</v>
      </c>
      <c r="AG3" s="106" t="s">
        <v>600</v>
      </c>
      <c r="AH3" s="9" t="s">
        <v>10</v>
      </c>
      <c r="AI3" s="9" t="s">
        <v>11</v>
      </c>
      <c r="AJ3" s="9" t="s">
        <v>10</v>
      </c>
      <c r="AK3" s="9" t="s">
        <v>11</v>
      </c>
    </row>
    <row r="4" spans="1:37" ht="12.75">
      <c r="A4" s="8" t="s">
        <v>22</v>
      </c>
      <c r="B4" s="9"/>
      <c r="C4" s="9"/>
      <c r="D4" s="9">
        <v>1997</v>
      </c>
      <c r="E4" s="9">
        <v>1997</v>
      </c>
      <c r="F4" s="9" t="s">
        <v>23</v>
      </c>
      <c r="G4" s="9">
        <v>1998</v>
      </c>
      <c r="H4" s="9">
        <v>1998</v>
      </c>
      <c r="I4" s="9" t="s">
        <v>24</v>
      </c>
      <c r="J4" s="9" t="s">
        <v>25</v>
      </c>
      <c r="K4" s="9">
        <v>1999</v>
      </c>
      <c r="L4" s="9">
        <v>1999</v>
      </c>
      <c r="M4" s="9" t="s">
        <v>26</v>
      </c>
      <c r="N4" s="9">
        <v>1999</v>
      </c>
      <c r="O4" s="9" t="s">
        <v>23</v>
      </c>
      <c r="P4" s="9">
        <v>2000</v>
      </c>
      <c r="Q4" s="9" t="s">
        <v>27</v>
      </c>
      <c r="R4" s="9" t="s">
        <v>23</v>
      </c>
      <c r="S4" s="9" t="s">
        <v>23</v>
      </c>
      <c r="T4" s="9" t="s">
        <v>28</v>
      </c>
      <c r="U4" s="9">
        <v>2000</v>
      </c>
      <c r="V4" s="10" t="s">
        <v>29</v>
      </c>
      <c r="W4" s="10" t="s">
        <v>29</v>
      </c>
      <c r="X4" s="10" t="s">
        <v>29</v>
      </c>
      <c r="Y4" s="9" t="s">
        <v>579</v>
      </c>
      <c r="Z4" s="9" t="s">
        <v>580</v>
      </c>
      <c r="AA4" s="9"/>
      <c r="AB4" s="9" t="s">
        <v>594</v>
      </c>
      <c r="AC4" s="9" t="s">
        <v>580</v>
      </c>
      <c r="AD4" s="9" t="s">
        <v>596</v>
      </c>
      <c r="AE4" s="9" t="s">
        <v>580</v>
      </c>
      <c r="AF4" s="9" t="s">
        <v>618</v>
      </c>
      <c r="AG4" s="9">
        <v>2000</v>
      </c>
      <c r="AH4" s="9" t="s">
        <v>604</v>
      </c>
      <c r="AI4" s="9" t="s">
        <v>580</v>
      </c>
      <c r="AJ4" s="9" t="s">
        <v>610</v>
      </c>
      <c r="AK4" s="9" t="s">
        <v>580</v>
      </c>
    </row>
    <row r="5" spans="1:37" ht="13.5" thickBot="1">
      <c r="A5" s="11">
        <v>1</v>
      </c>
      <c r="B5" s="11"/>
      <c r="C5" s="11">
        <v>2</v>
      </c>
      <c r="D5" s="11">
        <v>3</v>
      </c>
      <c r="E5" s="11">
        <v>3</v>
      </c>
      <c r="F5" s="11">
        <v>5</v>
      </c>
      <c r="G5" s="11">
        <v>4</v>
      </c>
      <c r="H5" s="11">
        <v>2</v>
      </c>
      <c r="I5" s="11">
        <v>6</v>
      </c>
      <c r="J5" s="11" t="s">
        <v>30</v>
      </c>
      <c r="K5" s="11">
        <v>3</v>
      </c>
      <c r="L5" s="11">
        <v>3</v>
      </c>
      <c r="M5" s="11">
        <v>5</v>
      </c>
      <c r="N5" s="11">
        <v>3</v>
      </c>
      <c r="O5" s="11">
        <v>5</v>
      </c>
      <c r="P5" s="11">
        <v>3</v>
      </c>
      <c r="Q5" s="11">
        <v>5</v>
      </c>
      <c r="R5" s="11">
        <v>6</v>
      </c>
      <c r="S5" s="11">
        <v>5</v>
      </c>
      <c r="T5" s="11" t="s">
        <v>31</v>
      </c>
      <c r="U5" s="11">
        <v>5</v>
      </c>
      <c r="V5" s="11">
        <v>6</v>
      </c>
      <c r="W5" s="11">
        <v>6</v>
      </c>
      <c r="X5" s="11">
        <v>7</v>
      </c>
      <c r="Y5" s="11">
        <v>4</v>
      </c>
      <c r="Z5" s="11">
        <v>5</v>
      </c>
      <c r="AA5" s="86"/>
      <c r="AB5" s="11">
        <v>4</v>
      </c>
      <c r="AC5" s="11">
        <v>5</v>
      </c>
      <c r="AD5" s="11">
        <v>4</v>
      </c>
      <c r="AE5" s="11">
        <v>5</v>
      </c>
      <c r="AF5" s="11">
        <v>3</v>
      </c>
      <c r="AG5" s="107">
        <v>3</v>
      </c>
      <c r="AH5" s="11">
        <v>4</v>
      </c>
      <c r="AI5" s="11">
        <v>5</v>
      </c>
      <c r="AJ5" s="11">
        <v>4</v>
      </c>
      <c r="AK5" s="11">
        <v>5</v>
      </c>
    </row>
    <row r="6" ht="13.5" thickTop="1"/>
    <row r="7" spans="2:37" s="12" customFormat="1" ht="15.75">
      <c r="B7" s="13" t="s">
        <v>32</v>
      </c>
      <c r="C7" s="14" t="s">
        <v>33</v>
      </c>
      <c r="D7" s="15">
        <f>D12+D86+D207+D234+D277</f>
        <v>10022781000</v>
      </c>
      <c r="E7" s="15">
        <f>E12+E86+E207+E234+E277</f>
        <v>9708759015</v>
      </c>
      <c r="F7" s="16">
        <f>E7/D7*100</f>
        <v>96.86691762495857</v>
      </c>
      <c r="G7" s="15">
        <f>G12+G86+G207+G234+G277</f>
        <v>11343436000</v>
      </c>
      <c r="H7" s="15">
        <f>H12+H86+H207+H227+H234+H277</f>
        <v>12435195509.609999</v>
      </c>
      <c r="I7" s="16">
        <f>H7/G7*100</f>
        <v>109.62459266848245</v>
      </c>
      <c r="J7" s="15" t="e">
        <f>J12+J86+J207+J234+J277</f>
        <v>#REF!</v>
      </c>
      <c r="K7" s="15">
        <f>K12+K86+K207+K234+K277</f>
        <v>11686600209</v>
      </c>
      <c r="L7" s="15">
        <f>L12+L86+L207+L227+L234+L277</f>
        <v>12269412634</v>
      </c>
      <c r="M7" s="15">
        <f>L7-K7</f>
        <v>582812425</v>
      </c>
      <c r="N7" s="15">
        <f>N12+N86+N207+N227+N234+N277</f>
        <v>11698232747.39</v>
      </c>
      <c r="O7" s="16">
        <f>N7/L7*100</f>
        <v>95.34468434921494</v>
      </c>
      <c r="P7" s="15">
        <f>P12+P86+P207+P227+P234+P277</f>
        <v>12421714000</v>
      </c>
      <c r="Q7" s="16">
        <f>P7/H7*100</f>
        <v>99.89158586529999</v>
      </c>
      <c r="R7" s="16">
        <f>P7/L7*100</f>
        <v>101.24130934824016</v>
      </c>
      <c r="S7" s="16">
        <f>P7/N7*100</f>
        <v>106.18453460648931</v>
      </c>
      <c r="T7" s="15">
        <f>T12+T86+T207+T227+T234+T277</f>
        <v>12421714000</v>
      </c>
      <c r="U7" s="15">
        <f>U12+U86+U207+U227+U234+U277</f>
        <v>12964736700</v>
      </c>
      <c r="V7" s="15">
        <f>U7-P7</f>
        <v>543022700</v>
      </c>
      <c r="W7" s="15">
        <v>662030200</v>
      </c>
      <c r="X7" s="15">
        <v>-119007500</v>
      </c>
      <c r="Y7" s="15">
        <f>Y12+Y86+Y207+Y227+Y234+Y277</f>
        <v>911308884.1</v>
      </c>
      <c r="Z7" s="91">
        <f>+Y7/P7*100</f>
        <v>7.336418179487953</v>
      </c>
      <c r="AA7" s="91">
        <f>AA12+AA86+AA207+AA227+AA234+AA277</f>
        <v>600000</v>
      </c>
      <c r="AB7" s="15">
        <f>AB12+AB86+AB207+AB227+AB234+AB277</f>
        <v>1628947181.81</v>
      </c>
      <c r="AC7" s="91">
        <f>+AB7/P7*100</f>
        <v>13.113707027951216</v>
      </c>
      <c r="AD7" s="15">
        <f>AD12+AD86+AD207+AD227+AD234+AD277</f>
        <v>3698083159.419999</v>
      </c>
      <c r="AE7" s="91">
        <f>AD7/P7*100</f>
        <v>29.771118216213953</v>
      </c>
      <c r="AF7" s="91">
        <f>AF12+AF86+AF207+AF227+AF234+AF277</f>
        <v>7908019801.002859</v>
      </c>
      <c r="AG7" s="15">
        <f>AG12+AG86+AG207+AG227+AG234</f>
        <v>13419228850</v>
      </c>
      <c r="AH7" s="91">
        <f>AH12+AH86+AH207+AH227+AH234+AH277</f>
        <v>4670742871.180001</v>
      </c>
      <c r="AI7" s="16">
        <f>+AH7/AG7*100</f>
        <v>34.80634337031968</v>
      </c>
      <c r="AJ7" s="91">
        <f>AJ12+AJ86+AJ207+AJ227+AJ234+AJ277</f>
        <v>5795629268.070001</v>
      </c>
      <c r="AK7" s="16">
        <f>+AJ7/AG7*100</f>
        <v>43.188988971374464</v>
      </c>
    </row>
    <row r="8" spans="3:37" s="12" customFormat="1" ht="15.75">
      <c r="C8" s="17" t="s">
        <v>34</v>
      </c>
      <c r="D8" s="18"/>
      <c r="E8" s="18"/>
      <c r="F8" s="18"/>
      <c r="G8" s="18"/>
      <c r="H8" s="18"/>
      <c r="I8" s="16"/>
      <c r="J8" s="18"/>
      <c r="K8" s="18"/>
      <c r="L8" s="18"/>
      <c r="M8" s="18"/>
      <c r="N8" s="18"/>
      <c r="O8" s="19"/>
      <c r="P8" s="18"/>
      <c r="Q8" s="18"/>
      <c r="R8" s="18"/>
      <c r="S8" s="18"/>
      <c r="T8" s="18"/>
      <c r="U8" s="18"/>
      <c r="V8" s="18"/>
      <c r="W8" s="18"/>
      <c r="X8" s="18"/>
      <c r="Y8" s="18"/>
      <c r="Z8" s="97"/>
      <c r="AA8" s="97"/>
      <c r="AB8" s="18"/>
      <c r="AC8" s="97"/>
      <c r="AD8" s="18"/>
      <c r="AE8" s="97"/>
      <c r="AF8" s="97"/>
      <c r="AG8" s="18"/>
      <c r="AH8" s="97"/>
      <c r="AI8" s="19"/>
      <c r="AJ8" s="97"/>
      <c r="AK8" s="19"/>
    </row>
    <row r="9" spans="4:37" s="20" customFormat="1" ht="12.75" customHeight="1">
      <c r="D9" s="21"/>
      <c r="E9" s="21"/>
      <c r="F9" s="21"/>
      <c r="G9" s="21"/>
      <c r="H9" s="21"/>
      <c r="I9" s="22"/>
      <c r="J9" s="21" t="e">
        <f>J16+J38+J48+J51+J59+J63+J67+J70+J71+J72+J74+J149+J154+#REF!</f>
        <v>#REF!</v>
      </c>
      <c r="K9" s="21"/>
      <c r="L9" s="21"/>
      <c r="M9" s="21"/>
      <c r="N9" s="21"/>
      <c r="O9" s="23"/>
      <c r="P9" s="21"/>
      <c r="Q9" s="21"/>
      <c r="R9" s="21"/>
      <c r="S9" s="21"/>
      <c r="T9" s="21"/>
      <c r="U9" s="21"/>
      <c r="V9" s="21"/>
      <c r="W9" s="21"/>
      <c r="X9" s="21"/>
      <c r="Y9" s="21"/>
      <c r="Z9" s="94"/>
      <c r="AA9" s="94"/>
      <c r="AB9" s="21"/>
      <c r="AC9" s="94"/>
      <c r="AD9" s="21"/>
      <c r="AE9" s="94"/>
      <c r="AF9" s="94"/>
      <c r="AG9" s="21"/>
      <c r="AH9" s="94"/>
      <c r="AI9" s="23"/>
      <c r="AJ9" s="94"/>
      <c r="AK9" s="23"/>
    </row>
    <row r="10" spans="3:37" s="12" customFormat="1" ht="15.75">
      <c r="C10" s="24" t="s">
        <v>35</v>
      </c>
      <c r="D10" s="15">
        <f>D12+D86</f>
        <v>8744936300</v>
      </c>
      <c r="E10" s="15">
        <f>E12+E86</f>
        <v>8598038170</v>
      </c>
      <c r="F10" s="16">
        <f>E10/D10*100</f>
        <v>98.32019210934675</v>
      </c>
      <c r="G10" s="15">
        <f>G12+G86</f>
        <v>9466500200</v>
      </c>
      <c r="H10" s="15">
        <f>H12+H86</f>
        <v>9338529994.05</v>
      </c>
      <c r="I10" s="16">
        <f>H10/G10*100</f>
        <v>98.64817827870536</v>
      </c>
      <c r="J10" s="15" t="e">
        <f>J12+J86</f>
        <v>#REF!</v>
      </c>
      <c r="K10" s="15">
        <f>K12+K86</f>
        <v>10022196229</v>
      </c>
      <c r="L10" s="15">
        <f>L12+L86</f>
        <v>10344121354</v>
      </c>
      <c r="M10" s="15">
        <f>L10-K10</f>
        <v>321925125</v>
      </c>
      <c r="N10" s="15">
        <f>N12+N86</f>
        <v>9957057555.49</v>
      </c>
      <c r="O10" s="16">
        <f>N10/L10*100</f>
        <v>96.25812782677453</v>
      </c>
      <c r="P10" s="15">
        <f>P12+P86</f>
        <v>10870703000</v>
      </c>
      <c r="Q10" s="16">
        <f>P10/H10*100</f>
        <v>116.40700417438524</v>
      </c>
      <c r="R10" s="16">
        <f>P10/L10*100</f>
        <v>105.09063677792581</v>
      </c>
      <c r="S10" s="16">
        <f>P10/N10*100</f>
        <v>109.17585782163373</v>
      </c>
      <c r="T10" s="15">
        <f>T12+T86</f>
        <v>10870703000</v>
      </c>
      <c r="U10" s="15">
        <f>U12+U86</f>
        <v>11281900000</v>
      </c>
      <c r="V10" s="15">
        <f>U10-P10</f>
        <v>411197000</v>
      </c>
      <c r="W10" s="15"/>
      <c r="X10" s="15"/>
      <c r="Y10" s="15">
        <f>Y12+Y86</f>
        <v>782833600.7700001</v>
      </c>
      <c r="Z10" s="91">
        <f aca="true" t="shared" si="0" ref="Z10:Z70">+Y10/P10*100</f>
        <v>7.201315322201335</v>
      </c>
      <c r="AA10" s="91">
        <f>AA12+AA86</f>
        <v>600000</v>
      </c>
      <c r="AB10" s="15">
        <f>AB12+AB86</f>
        <v>1436347729.2299998</v>
      </c>
      <c r="AC10" s="91">
        <f aca="true" t="shared" si="1" ref="AC10:AC71">+AB10/P10*100</f>
        <v>13.213016023250749</v>
      </c>
      <c r="AD10" s="15">
        <f>AD12+AD86</f>
        <v>3343991441.2899995</v>
      </c>
      <c r="AE10" s="91">
        <f aca="true" t="shared" si="2" ref="AE10:AE71">AD10/P10*100</f>
        <v>30.761501268961165</v>
      </c>
      <c r="AF10" s="91">
        <f>AF12+AF86</f>
        <v>4544280748.002859</v>
      </c>
      <c r="AG10" s="15">
        <f>AG12+AG86</f>
        <v>11653051300</v>
      </c>
      <c r="AH10" s="91">
        <f>AH12+AH86</f>
        <v>4219024380.6000004</v>
      </c>
      <c r="AI10" s="16">
        <f>+AH10/AG10*100</f>
        <v>36.205318864424804</v>
      </c>
      <c r="AJ10" s="91">
        <f>AJ12+AJ86</f>
        <v>5243565695.35</v>
      </c>
      <c r="AK10" s="16">
        <f aca="true" t="shared" si="3" ref="AK10:AK71">+AJ10/AG10*100</f>
        <v>44.99736215312122</v>
      </c>
    </row>
    <row r="11" spans="4:37" ht="12.75" customHeight="1">
      <c r="D11" s="25"/>
      <c r="E11" s="25"/>
      <c r="F11" s="16"/>
      <c r="G11" s="25"/>
      <c r="H11" s="25"/>
      <c r="I11" s="16"/>
      <c r="J11" s="25"/>
      <c r="K11" s="25"/>
      <c r="L11" s="25"/>
      <c r="M11" s="25"/>
      <c r="N11" s="25"/>
      <c r="O11" s="26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89"/>
      <c r="AA11" s="89"/>
      <c r="AB11" s="25"/>
      <c r="AC11" s="89"/>
      <c r="AD11" s="25"/>
      <c r="AE11" s="89"/>
      <c r="AF11" s="89"/>
      <c r="AH11" s="89"/>
      <c r="AI11" s="26"/>
      <c r="AJ11" s="89"/>
      <c r="AK11" s="26"/>
    </row>
    <row r="12" spans="1:37" s="12" customFormat="1" ht="15.75">
      <c r="A12" s="27">
        <v>70</v>
      </c>
      <c r="B12" s="24"/>
      <c r="C12" s="24" t="s">
        <v>36</v>
      </c>
      <c r="D12" s="15">
        <f>D15+D37+D58+D83</f>
        <v>6066000000</v>
      </c>
      <c r="E12" s="15">
        <f>E15+E37+E58+E83</f>
        <v>5930989303</v>
      </c>
      <c r="F12" s="16">
        <f>E12/D12*100</f>
        <v>97.77430436861194</v>
      </c>
      <c r="G12" s="15">
        <f>G15+G37+G58+G83</f>
        <v>6921948200</v>
      </c>
      <c r="H12" s="15">
        <f>H15+H37+H58+H83</f>
        <v>6837043954.97</v>
      </c>
      <c r="I12" s="16">
        <f>H12/G12*100</f>
        <v>98.77340536830368</v>
      </c>
      <c r="J12" s="15" t="e">
        <f>J15+J37+J58+J83</f>
        <v>#REF!</v>
      </c>
      <c r="K12" s="15">
        <f>K15+K37+K58+K83</f>
        <v>7308091629</v>
      </c>
      <c r="L12" s="15">
        <f>L15+L37+L58+L83</f>
        <v>7700445854</v>
      </c>
      <c r="M12" s="15">
        <f>L12-K12</f>
        <v>392354225</v>
      </c>
      <c r="N12" s="15">
        <f>N15+N37+N58+N83</f>
        <v>7587047170.34</v>
      </c>
      <c r="O12" s="16">
        <f>N12/L12*100</f>
        <v>98.52737509216956</v>
      </c>
      <c r="P12" s="15">
        <f>P15+P37+P58+P83</f>
        <v>8245200000</v>
      </c>
      <c r="Q12" s="16">
        <f>P12/H12*100</f>
        <v>120.59597765210182</v>
      </c>
      <c r="R12" s="16">
        <f>P12/L12*100</f>
        <v>107.07431954367976</v>
      </c>
      <c r="S12" s="16">
        <f>P12/N12*100</f>
        <v>108.67469009857898</v>
      </c>
      <c r="T12" s="15">
        <f>T15+T37+T58+T83</f>
        <v>8245200000</v>
      </c>
      <c r="U12" s="15">
        <f>U15+U37+U58+U83</f>
        <v>8433200000</v>
      </c>
      <c r="V12" s="15">
        <f>U12-P12</f>
        <v>188000000</v>
      </c>
      <c r="W12" s="15"/>
      <c r="X12" s="15"/>
      <c r="Y12" s="15">
        <f>Y15+Y37+Y58+Y83</f>
        <v>594333947.34</v>
      </c>
      <c r="Z12" s="91">
        <f t="shared" si="0"/>
        <v>7.2082417326444475</v>
      </c>
      <c r="AA12" s="91">
        <f>AA15+AA37+AA58+AA83</f>
        <v>0</v>
      </c>
      <c r="AB12" s="15">
        <f>AB15+AB37+AB58+AB83</f>
        <v>1123619232.3099997</v>
      </c>
      <c r="AC12" s="91">
        <f t="shared" si="1"/>
        <v>13.627555818051713</v>
      </c>
      <c r="AD12" s="15">
        <f>AD15+AD37+AD58+AD83</f>
        <v>2515873403.7699995</v>
      </c>
      <c r="AE12" s="91">
        <f t="shared" si="2"/>
        <v>30.513188324964823</v>
      </c>
      <c r="AF12" s="91">
        <f>AF15+AF37+AF58+AF83</f>
        <v>3591781090.002859</v>
      </c>
      <c r="AG12" s="15">
        <f>AG15+AG37+AG58+AG83</f>
        <v>8704076300</v>
      </c>
      <c r="AH12" s="91">
        <f>AH15+AH37+AH58+AH83</f>
        <v>3227767079.2500005</v>
      </c>
      <c r="AI12" s="16">
        <f>+AH12/AG12*100</f>
        <v>37.083395962992654</v>
      </c>
      <c r="AJ12" s="91">
        <f>AJ15+AJ37+AJ58+AJ83</f>
        <v>3908871851.2000003</v>
      </c>
      <c r="AK12" s="16">
        <f t="shared" si="3"/>
        <v>44.9085200597334</v>
      </c>
    </row>
    <row r="13" spans="1:37" ht="12.75">
      <c r="A13" s="28"/>
      <c r="C13" s="29" t="s">
        <v>37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6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89"/>
      <c r="AA13" s="89"/>
      <c r="AB13" s="25"/>
      <c r="AC13" s="89"/>
      <c r="AD13" s="25"/>
      <c r="AE13" s="89"/>
      <c r="AF13" s="89"/>
      <c r="AH13" s="89"/>
      <c r="AI13" s="26"/>
      <c r="AJ13" s="89"/>
      <c r="AK13" s="26"/>
    </row>
    <row r="14" spans="1:37" ht="12.75" customHeight="1">
      <c r="A14" s="28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6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89"/>
      <c r="AA14" s="89"/>
      <c r="AB14" s="25"/>
      <c r="AC14" s="89"/>
      <c r="AD14" s="25"/>
      <c r="AE14" s="89"/>
      <c r="AF14" s="89"/>
      <c r="AH14" s="89"/>
      <c r="AI14" s="26"/>
      <c r="AJ14" s="89"/>
      <c r="AK14" s="26"/>
    </row>
    <row r="15" spans="1:37" s="31" customFormat="1" ht="12.75">
      <c r="A15" s="30">
        <v>700</v>
      </c>
      <c r="C15" s="31" t="s">
        <v>38</v>
      </c>
      <c r="D15" s="32">
        <f>D16</f>
        <v>3993000000</v>
      </c>
      <c r="E15" s="32">
        <f>E16</f>
        <v>3779812277</v>
      </c>
      <c r="F15" s="22">
        <f>E15/D15*100</f>
        <v>94.66096361131981</v>
      </c>
      <c r="G15" s="32">
        <f>G16</f>
        <v>4349000000</v>
      </c>
      <c r="H15" s="32">
        <f>H16</f>
        <v>4180240102</v>
      </c>
      <c r="I15" s="22">
        <f>H15/G15*100</f>
        <v>96.11957006208324</v>
      </c>
      <c r="J15" s="32" t="e">
        <f>J16</f>
        <v>#REF!</v>
      </c>
      <c r="K15" s="32">
        <f>K16</f>
        <v>4732500000</v>
      </c>
      <c r="L15" s="32">
        <f>L16</f>
        <v>5075000000</v>
      </c>
      <c r="M15" s="33">
        <f aca="true" t="shared" si="4" ref="M15:M30">L15-K15</f>
        <v>342500000</v>
      </c>
      <c r="N15" s="32">
        <f>N16</f>
        <v>4956166380</v>
      </c>
      <c r="O15" s="34">
        <f aca="true" t="shared" si="5" ref="O15:O30">N15/L15*100</f>
        <v>97.65845083743842</v>
      </c>
      <c r="P15" s="32">
        <f>P16</f>
        <v>5505000000</v>
      </c>
      <c r="Q15" s="22">
        <f aca="true" t="shared" si="6" ref="Q15:Q30">P15/H15*100</f>
        <v>131.69100017403736</v>
      </c>
      <c r="R15" s="22">
        <f aca="true" t="shared" si="7" ref="R15:R30">P15/L15*100</f>
        <v>108.4729064039409</v>
      </c>
      <c r="S15" s="22">
        <f aca="true" t="shared" si="8" ref="S15:S30">P15/N15*100</f>
        <v>111.07375293563086</v>
      </c>
      <c r="T15" s="32">
        <f>T16</f>
        <v>5505000000</v>
      </c>
      <c r="U15" s="32">
        <f>U16</f>
        <v>5505000000</v>
      </c>
      <c r="V15" s="33">
        <f aca="true" t="shared" si="9" ref="V15:V30">U15-P15</f>
        <v>0</v>
      </c>
      <c r="W15" s="33"/>
      <c r="X15" s="33"/>
      <c r="Y15" s="32">
        <f>Y16</f>
        <v>419959537.86</v>
      </c>
      <c r="Z15" s="87">
        <f t="shared" si="0"/>
        <v>7.628692785831063</v>
      </c>
      <c r="AA15" s="87">
        <f>AA16</f>
        <v>0</v>
      </c>
      <c r="AB15" s="32">
        <f>AB16</f>
        <v>836940672.4399997</v>
      </c>
      <c r="AC15" s="87">
        <f t="shared" si="1"/>
        <v>15.20328196984559</v>
      </c>
      <c r="AD15" s="32">
        <f>AD16</f>
        <v>1742332824.5799997</v>
      </c>
      <c r="AE15" s="87">
        <f t="shared" si="2"/>
        <v>31.650005896094452</v>
      </c>
      <c r="AF15" s="87">
        <f>AF16</f>
        <v>2511119373</v>
      </c>
      <c r="AG15" s="32">
        <f>AG16</f>
        <v>5505000000</v>
      </c>
      <c r="AH15" s="87">
        <f>AH16</f>
        <v>2226360771.8100004</v>
      </c>
      <c r="AI15" s="22">
        <f aca="true" t="shared" si="10" ref="AI15:AI30">+AH15/AG15*100</f>
        <v>40.442520832152596</v>
      </c>
      <c r="AJ15" s="87">
        <f>AJ16</f>
        <v>2721580286.4200006</v>
      </c>
      <c r="AK15" s="22">
        <f t="shared" si="3"/>
        <v>49.43833399491373</v>
      </c>
    </row>
    <row r="16" spans="1:37" s="31" customFormat="1" ht="12.75">
      <c r="A16" s="30">
        <v>7000</v>
      </c>
      <c r="C16" s="31" t="s">
        <v>39</v>
      </c>
      <c r="D16" s="32">
        <f>SUM(D17:D35)</f>
        <v>3993000000</v>
      </c>
      <c r="E16" s="32">
        <f>SUM(E17:E35)</f>
        <v>3779812277</v>
      </c>
      <c r="F16" s="34">
        <f>E16/D16*100</f>
        <v>94.66096361131981</v>
      </c>
      <c r="G16" s="32">
        <f>SUM(G17:G35)</f>
        <v>4349000000</v>
      </c>
      <c r="H16" s="32">
        <f>SUM(H17:H35)</f>
        <v>4180240102</v>
      </c>
      <c r="I16" s="34">
        <f>H16/G16*100</f>
        <v>96.11957006208324</v>
      </c>
      <c r="J16" s="32" t="e">
        <f>SUM(J17:J35)</f>
        <v>#REF!</v>
      </c>
      <c r="K16" s="32">
        <f>SUM(K17:K35)</f>
        <v>4732500000</v>
      </c>
      <c r="L16" s="32">
        <f>SUM(L17:L35)</f>
        <v>5075000000</v>
      </c>
      <c r="M16" s="33">
        <f t="shared" si="4"/>
        <v>342500000</v>
      </c>
      <c r="N16" s="32">
        <f>SUM(N17:N35)</f>
        <v>4956166380</v>
      </c>
      <c r="O16" s="34">
        <f t="shared" si="5"/>
        <v>97.65845083743842</v>
      </c>
      <c r="P16" s="32">
        <f>SUM(P17:P35)</f>
        <v>5505000000</v>
      </c>
      <c r="Q16" s="22">
        <f t="shared" si="6"/>
        <v>131.69100017403736</v>
      </c>
      <c r="R16" s="22">
        <f t="shared" si="7"/>
        <v>108.4729064039409</v>
      </c>
      <c r="S16" s="22">
        <f t="shared" si="8"/>
        <v>111.07375293563086</v>
      </c>
      <c r="T16" s="32">
        <f>SUM(T17:T35)</f>
        <v>5505000000</v>
      </c>
      <c r="U16" s="32">
        <f>SUM(U17:U35)</f>
        <v>5505000000</v>
      </c>
      <c r="V16" s="33">
        <f t="shared" si="9"/>
        <v>0</v>
      </c>
      <c r="W16" s="33"/>
      <c r="X16" s="33"/>
      <c r="Y16" s="32">
        <f>SUM(Y17:Y35)</f>
        <v>419959537.86</v>
      </c>
      <c r="Z16" s="87">
        <f>+Y16/P16*100</f>
        <v>7.628692785831063</v>
      </c>
      <c r="AA16" s="87">
        <f>SUM(AA17:AA35)</f>
        <v>0</v>
      </c>
      <c r="AB16" s="32">
        <f>SUM(AB17:AB35)</f>
        <v>836940672.4399997</v>
      </c>
      <c r="AC16" s="87">
        <f t="shared" si="1"/>
        <v>15.20328196984559</v>
      </c>
      <c r="AD16" s="32">
        <f>SUM(AD17:AD35)</f>
        <v>1742332824.5799997</v>
      </c>
      <c r="AE16" s="87">
        <f t="shared" si="2"/>
        <v>31.650005896094452</v>
      </c>
      <c r="AF16" s="87">
        <f>SUM(AF17:AF35)</f>
        <v>2511119373</v>
      </c>
      <c r="AG16" s="32">
        <f>SUM(AG17:AG35)</f>
        <v>5505000000</v>
      </c>
      <c r="AH16" s="87">
        <f>SUM(AH17:AH35)</f>
        <v>2226360771.8100004</v>
      </c>
      <c r="AI16" s="22">
        <f t="shared" si="10"/>
        <v>40.442520832152596</v>
      </c>
      <c r="AJ16" s="87">
        <f>SUM(AJ17:AJ35)</f>
        <v>2721580286.4200006</v>
      </c>
      <c r="AK16" s="22">
        <f t="shared" si="3"/>
        <v>49.43833399491373</v>
      </c>
    </row>
    <row r="17" spans="1:37" s="36" customFormat="1" ht="12.75" customHeight="1">
      <c r="A17" s="35" t="s">
        <v>40</v>
      </c>
      <c r="C17" s="36" t="s">
        <v>41</v>
      </c>
      <c r="D17" s="37">
        <v>100000000</v>
      </c>
      <c r="E17" s="37">
        <v>90344056</v>
      </c>
      <c r="F17" s="38">
        <f>E17/D17*100</f>
        <v>90.344056</v>
      </c>
      <c r="G17" s="37">
        <v>90000000</v>
      </c>
      <c r="H17" s="37">
        <v>128525066</v>
      </c>
      <c r="I17" s="38">
        <f>H17/G17*100</f>
        <v>142.8056288888889</v>
      </c>
      <c r="J17" s="37" t="e">
        <f>ROUND(#REF!,-5)</f>
        <v>#REF!</v>
      </c>
      <c r="K17" s="37">
        <v>144900000</v>
      </c>
      <c r="L17" s="37">
        <v>120000000</v>
      </c>
      <c r="M17" s="37">
        <f t="shared" si="4"/>
        <v>-24900000</v>
      </c>
      <c r="N17" s="37">
        <v>147820029</v>
      </c>
      <c r="O17" s="39">
        <f t="shared" si="5"/>
        <v>123.1833575</v>
      </c>
      <c r="P17" s="37">
        <f>127000000+3000000</f>
        <v>130000000</v>
      </c>
      <c r="Q17" s="39">
        <f t="shared" si="6"/>
        <v>101.14758470538345</v>
      </c>
      <c r="R17" s="39">
        <f t="shared" si="7"/>
        <v>108.33333333333333</v>
      </c>
      <c r="S17" s="39">
        <f t="shared" si="8"/>
        <v>87.94478047355815</v>
      </c>
      <c r="T17" s="37">
        <f>127000000+3000000</f>
        <v>130000000</v>
      </c>
      <c r="U17" s="37">
        <f>127000000+3000000</f>
        <v>130000000</v>
      </c>
      <c r="V17" s="37">
        <f t="shared" si="9"/>
        <v>0</v>
      </c>
      <c r="W17" s="37"/>
      <c r="X17" s="37"/>
      <c r="Y17" s="37">
        <v>5153999.62</v>
      </c>
      <c r="Z17" s="88">
        <f t="shared" si="0"/>
        <v>3.9646150923076924</v>
      </c>
      <c r="AA17" s="88"/>
      <c r="AB17" s="37">
        <v>9077066.54</v>
      </c>
      <c r="AC17" s="88">
        <f t="shared" si="1"/>
        <v>6.982358876923077</v>
      </c>
      <c r="AD17" s="37">
        <v>15112982.76</v>
      </c>
      <c r="AE17" s="88">
        <f t="shared" si="2"/>
        <v>11.625371353846154</v>
      </c>
      <c r="AF17" s="88">
        <v>31329194</v>
      </c>
      <c r="AG17" s="37">
        <f>127000000+3000000</f>
        <v>130000000</v>
      </c>
      <c r="AH17" s="88">
        <v>17316329.62</v>
      </c>
      <c r="AI17" s="39">
        <f t="shared" si="10"/>
        <v>13.320253553846154</v>
      </c>
      <c r="AJ17" s="88">
        <v>19406272.17</v>
      </c>
      <c r="AK17" s="39">
        <f t="shared" si="3"/>
        <v>14.92790166923077</v>
      </c>
    </row>
    <row r="18" spans="1:37" s="36" customFormat="1" ht="12.75" customHeight="1">
      <c r="A18" s="35" t="s">
        <v>42</v>
      </c>
      <c r="C18" s="36" t="s">
        <v>43</v>
      </c>
      <c r="D18" s="37">
        <v>3530000000</v>
      </c>
      <c r="E18" s="37">
        <v>3313551547</v>
      </c>
      <c r="F18" s="38">
        <f>E18/D18*100</f>
        <v>93.86831577903682</v>
      </c>
      <c r="G18" s="37">
        <v>3850000000</v>
      </c>
      <c r="H18" s="37">
        <v>3493811998</v>
      </c>
      <c r="I18" s="38">
        <f>H18/G18*100</f>
        <v>90.74836358441559</v>
      </c>
      <c r="J18" s="37" t="e">
        <f>ROUND(#REF!,-5)</f>
        <v>#REF!</v>
      </c>
      <c r="K18" s="37">
        <v>3965000000</v>
      </c>
      <c r="L18" s="37">
        <v>4323000000</v>
      </c>
      <c r="M18" s="37">
        <f t="shared" si="4"/>
        <v>358000000</v>
      </c>
      <c r="N18" s="37">
        <v>4192626668</v>
      </c>
      <c r="O18" s="39">
        <f t="shared" si="5"/>
        <v>96.98419310663891</v>
      </c>
      <c r="P18" s="37">
        <f>4590000000+100000000</f>
        <v>4690000000</v>
      </c>
      <c r="Q18" s="39">
        <f t="shared" si="6"/>
        <v>134.2373316791157</v>
      </c>
      <c r="R18" s="39">
        <f t="shared" si="7"/>
        <v>108.48947490168864</v>
      </c>
      <c r="S18" s="39">
        <f t="shared" si="8"/>
        <v>111.86304842728248</v>
      </c>
      <c r="T18" s="37">
        <f>4590000000+100000000</f>
        <v>4690000000</v>
      </c>
      <c r="U18" s="37">
        <f>4590000000+100000000</f>
        <v>4690000000</v>
      </c>
      <c r="V18" s="37">
        <f t="shared" si="9"/>
        <v>0</v>
      </c>
      <c r="W18" s="37"/>
      <c r="X18" s="37"/>
      <c r="Y18" s="37">
        <v>375508185.95</v>
      </c>
      <c r="Z18" s="88">
        <f t="shared" si="0"/>
        <v>8.006571128997868</v>
      </c>
      <c r="AA18" s="88"/>
      <c r="AB18" s="37">
        <v>735761816.55</v>
      </c>
      <c r="AC18" s="88">
        <f t="shared" si="1"/>
        <v>15.687885214285712</v>
      </c>
      <c r="AD18" s="37">
        <v>1529521665.35</v>
      </c>
      <c r="AE18" s="88">
        <f t="shared" si="2"/>
        <v>32.61240224626866</v>
      </c>
      <c r="AF18" s="88">
        <v>2172603452</v>
      </c>
      <c r="AG18" s="37">
        <f>4590000000+100000000</f>
        <v>4690000000</v>
      </c>
      <c r="AH18" s="88">
        <v>1955435626.9</v>
      </c>
      <c r="AI18" s="39">
        <f t="shared" si="10"/>
        <v>41.69372338805971</v>
      </c>
      <c r="AJ18" s="88">
        <v>2391991286.65</v>
      </c>
      <c r="AK18" s="39">
        <f t="shared" si="3"/>
        <v>51.001946410447765</v>
      </c>
    </row>
    <row r="19" spans="1:37" s="36" customFormat="1" ht="12.75" customHeight="1">
      <c r="A19" s="35" t="s">
        <v>44</v>
      </c>
      <c r="C19" s="36" t="s">
        <v>45</v>
      </c>
      <c r="D19" s="37"/>
      <c r="E19" s="37"/>
      <c r="F19" s="38"/>
      <c r="G19" s="37"/>
      <c r="H19" s="37">
        <v>52912749</v>
      </c>
      <c r="I19" s="38"/>
      <c r="J19" s="37"/>
      <c r="K19" s="37">
        <v>61900000</v>
      </c>
      <c r="L19" s="37">
        <v>68000000</v>
      </c>
      <c r="M19" s="37">
        <f t="shared" si="4"/>
        <v>6100000</v>
      </c>
      <c r="N19" s="37">
        <v>64987855</v>
      </c>
      <c r="O19" s="39">
        <f t="shared" si="5"/>
        <v>95.570375</v>
      </c>
      <c r="P19" s="37">
        <f>72000000+4000000</f>
        <v>76000000</v>
      </c>
      <c r="Q19" s="39">
        <f t="shared" si="6"/>
        <v>143.6326810387417</v>
      </c>
      <c r="R19" s="39">
        <f t="shared" si="7"/>
        <v>111.76470588235294</v>
      </c>
      <c r="S19" s="39">
        <f t="shared" si="8"/>
        <v>116.94492763301696</v>
      </c>
      <c r="T19" s="37">
        <f>72000000+4000000</f>
        <v>76000000</v>
      </c>
      <c r="U19" s="37">
        <f>72000000+4000000</f>
        <v>76000000</v>
      </c>
      <c r="V19" s="37">
        <f t="shared" si="9"/>
        <v>0</v>
      </c>
      <c r="W19" s="37"/>
      <c r="X19" s="37"/>
      <c r="Y19" s="37">
        <v>6429408.73</v>
      </c>
      <c r="Z19" s="88">
        <f t="shared" si="0"/>
        <v>8.45974832894737</v>
      </c>
      <c r="AA19" s="88"/>
      <c r="AB19" s="37">
        <v>11479707.18</v>
      </c>
      <c r="AC19" s="88">
        <f t="shared" si="1"/>
        <v>15.104877868421053</v>
      </c>
      <c r="AD19" s="37">
        <v>25588570.66</v>
      </c>
      <c r="AE19" s="88">
        <f t="shared" si="2"/>
        <v>33.66917192105263</v>
      </c>
      <c r="AF19" s="88">
        <v>34212301</v>
      </c>
      <c r="AG19" s="37">
        <f>72000000+4000000</f>
        <v>76000000</v>
      </c>
      <c r="AH19" s="88">
        <v>32089111.58</v>
      </c>
      <c r="AI19" s="39">
        <f t="shared" si="10"/>
        <v>42.2225152368421</v>
      </c>
      <c r="AJ19" s="88">
        <v>38755493.06</v>
      </c>
      <c r="AK19" s="39">
        <f t="shared" si="3"/>
        <v>50.99406981578948</v>
      </c>
    </row>
    <row r="20" spans="1:37" s="36" customFormat="1" ht="12.75" customHeight="1">
      <c r="A20" s="35" t="s">
        <v>46</v>
      </c>
      <c r="C20" s="36" t="s">
        <v>47</v>
      </c>
      <c r="D20" s="37"/>
      <c r="E20" s="37"/>
      <c r="F20" s="38"/>
      <c r="G20" s="37"/>
      <c r="H20" s="37">
        <v>88240451</v>
      </c>
      <c r="I20" s="38"/>
      <c r="J20" s="37"/>
      <c r="K20" s="37">
        <v>90800000</v>
      </c>
      <c r="L20" s="37">
        <v>100000000</v>
      </c>
      <c r="M20" s="37">
        <f t="shared" si="4"/>
        <v>9200000</v>
      </c>
      <c r="N20" s="37">
        <v>97955667</v>
      </c>
      <c r="O20" s="39">
        <f t="shared" si="5"/>
        <v>97.955667</v>
      </c>
      <c r="P20" s="37">
        <v>106000000</v>
      </c>
      <c r="Q20" s="39">
        <f t="shared" si="6"/>
        <v>120.12631259103605</v>
      </c>
      <c r="R20" s="39">
        <f t="shared" si="7"/>
        <v>106</v>
      </c>
      <c r="S20" s="39">
        <f t="shared" si="8"/>
        <v>108.21221808432992</v>
      </c>
      <c r="T20" s="37">
        <v>106000000</v>
      </c>
      <c r="U20" s="37">
        <v>106000000</v>
      </c>
      <c r="V20" s="37">
        <f t="shared" si="9"/>
        <v>0</v>
      </c>
      <c r="W20" s="37"/>
      <c r="X20" s="37"/>
      <c r="Y20" s="37">
        <v>7923919.8</v>
      </c>
      <c r="Z20" s="88">
        <f t="shared" si="0"/>
        <v>7.475396037735848</v>
      </c>
      <c r="AA20" s="88"/>
      <c r="AB20" s="37">
        <v>15811733.47</v>
      </c>
      <c r="AC20" s="88">
        <f t="shared" si="1"/>
        <v>14.916729688679245</v>
      </c>
      <c r="AD20" s="37">
        <v>33372255.1</v>
      </c>
      <c r="AE20" s="88">
        <f t="shared" si="2"/>
        <v>31.483259528301886</v>
      </c>
      <c r="AF20" s="88">
        <v>49850554</v>
      </c>
      <c r="AG20" s="37">
        <v>106000000</v>
      </c>
      <c r="AH20" s="88">
        <v>42254404.22</v>
      </c>
      <c r="AI20" s="39">
        <f t="shared" si="10"/>
        <v>39.86264549056603</v>
      </c>
      <c r="AJ20" s="88">
        <v>51251031.23</v>
      </c>
      <c r="AK20" s="39">
        <f t="shared" si="3"/>
        <v>48.350029462264146</v>
      </c>
    </row>
    <row r="21" spans="1:37" s="36" customFormat="1" ht="12.75" customHeight="1">
      <c r="A21" s="35" t="s">
        <v>48</v>
      </c>
      <c r="C21" s="36" t="s">
        <v>49</v>
      </c>
      <c r="D21" s="37"/>
      <c r="E21" s="37"/>
      <c r="F21" s="38"/>
      <c r="G21" s="37"/>
      <c r="H21" s="37">
        <v>9287403</v>
      </c>
      <c r="I21" s="38"/>
      <c r="J21" s="37"/>
      <c r="K21" s="37">
        <v>8200000</v>
      </c>
      <c r="L21" s="37">
        <v>9000000</v>
      </c>
      <c r="M21" s="37">
        <f t="shared" si="4"/>
        <v>800000</v>
      </c>
      <c r="N21" s="37">
        <v>10736090</v>
      </c>
      <c r="O21" s="39">
        <f t="shared" si="5"/>
        <v>119.2898888888889</v>
      </c>
      <c r="P21" s="37">
        <f>9600000</f>
        <v>9600000</v>
      </c>
      <c r="Q21" s="39">
        <f t="shared" si="6"/>
        <v>103.36581711808996</v>
      </c>
      <c r="R21" s="39">
        <f t="shared" si="7"/>
        <v>106.66666666666667</v>
      </c>
      <c r="S21" s="39">
        <f t="shared" si="8"/>
        <v>89.41802835110362</v>
      </c>
      <c r="T21" s="37">
        <f>9600000</f>
        <v>9600000</v>
      </c>
      <c r="U21" s="37">
        <f>9600000</f>
        <v>9600000</v>
      </c>
      <c r="V21" s="37">
        <f t="shared" si="9"/>
        <v>0</v>
      </c>
      <c r="W21" s="37"/>
      <c r="X21" s="37"/>
      <c r="Y21" s="37">
        <v>653748.79</v>
      </c>
      <c r="Z21" s="88">
        <f t="shared" si="0"/>
        <v>6.809883229166667</v>
      </c>
      <c r="AA21" s="88"/>
      <c r="AB21" s="37">
        <v>1690941.68</v>
      </c>
      <c r="AC21" s="88">
        <f t="shared" si="1"/>
        <v>17.61397583333333</v>
      </c>
      <c r="AD21" s="37">
        <f>3660036.72-7556.44</f>
        <v>3652480.2800000003</v>
      </c>
      <c r="AE21" s="88">
        <f t="shared" si="2"/>
        <v>38.04666958333334</v>
      </c>
      <c r="AF21" s="88">
        <v>4241407</v>
      </c>
      <c r="AG21" s="37">
        <f>9600000</f>
        <v>9600000</v>
      </c>
      <c r="AH21" s="88">
        <v>4754871.52</v>
      </c>
      <c r="AI21" s="39">
        <f t="shared" si="10"/>
        <v>49.529911666666656</v>
      </c>
      <c r="AJ21" s="88">
        <v>6298951.32</v>
      </c>
      <c r="AK21" s="39">
        <f t="shared" si="3"/>
        <v>65.61407625000001</v>
      </c>
    </row>
    <row r="22" spans="1:37" s="36" customFormat="1" ht="12.75" customHeight="1">
      <c r="A22" s="35" t="s">
        <v>50</v>
      </c>
      <c r="C22" s="36" t="s">
        <v>51</v>
      </c>
      <c r="D22" s="37">
        <v>4000000</v>
      </c>
      <c r="E22" s="37">
        <v>2218375</v>
      </c>
      <c r="F22" s="38">
        <f>E22/D22*100</f>
        <v>55.459375</v>
      </c>
      <c r="G22" s="37">
        <v>3000000</v>
      </c>
      <c r="H22" s="37">
        <v>1001884</v>
      </c>
      <c r="I22" s="38">
        <f>H22/G22*100</f>
        <v>33.39613333333333</v>
      </c>
      <c r="J22" s="37" t="e">
        <f>ROUND(#REF!,-5)</f>
        <v>#REF!</v>
      </c>
      <c r="K22" s="37">
        <v>1000000</v>
      </c>
      <c r="L22" s="37">
        <v>1050000</v>
      </c>
      <c r="M22" s="37">
        <f t="shared" si="4"/>
        <v>50000</v>
      </c>
      <c r="N22" s="37">
        <v>990855</v>
      </c>
      <c r="O22" s="39">
        <f t="shared" si="5"/>
        <v>94.36714285714287</v>
      </c>
      <c r="P22" s="37">
        <v>1100000</v>
      </c>
      <c r="Q22" s="39">
        <f t="shared" si="6"/>
        <v>109.79314970595398</v>
      </c>
      <c r="R22" s="39">
        <f t="shared" si="7"/>
        <v>104.76190476190477</v>
      </c>
      <c r="S22" s="39">
        <f t="shared" si="8"/>
        <v>111.01523431783662</v>
      </c>
      <c r="T22" s="37">
        <v>1100000</v>
      </c>
      <c r="U22" s="37">
        <v>1100000</v>
      </c>
      <c r="V22" s="37">
        <f t="shared" si="9"/>
        <v>0</v>
      </c>
      <c r="W22" s="37"/>
      <c r="X22" s="37"/>
      <c r="Y22" s="37">
        <v>218750.3</v>
      </c>
      <c r="Z22" s="88">
        <f t="shared" si="0"/>
        <v>19.88639090909091</v>
      </c>
      <c r="AA22" s="88"/>
      <c r="AB22" s="37">
        <v>408021.85</v>
      </c>
      <c r="AC22" s="88">
        <f t="shared" si="1"/>
        <v>37.092895454545456</v>
      </c>
      <c r="AD22" s="37">
        <v>576137.41</v>
      </c>
      <c r="AE22" s="88">
        <f t="shared" si="2"/>
        <v>52.37612818181818</v>
      </c>
      <c r="AF22" s="88">
        <v>556633</v>
      </c>
      <c r="AG22" s="37">
        <v>1100000</v>
      </c>
      <c r="AH22" s="88">
        <v>775412.41</v>
      </c>
      <c r="AI22" s="39">
        <f t="shared" si="10"/>
        <v>70.49203727272727</v>
      </c>
      <c r="AJ22" s="88">
        <v>896471.07</v>
      </c>
      <c r="AK22" s="39">
        <f t="shared" si="3"/>
        <v>81.49736999999999</v>
      </c>
    </row>
    <row r="23" spans="1:37" s="36" customFormat="1" ht="12.75" customHeight="1">
      <c r="A23" s="35" t="s">
        <v>52</v>
      </c>
      <c r="C23" s="36" t="s">
        <v>53</v>
      </c>
      <c r="D23" s="37"/>
      <c r="E23" s="37"/>
      <c r="F23" s="38"/>
      <c r="G23" s="37"/>
      <c r="H23" s="37">
        <v>706334</v>
      </c>
      <c r="I23" s="38"/>
      <c r="J23" s="37"/>
      <c r="K23" s="37">
        <v>900000</v>
      </c>
      <c r="L23" s="37">
        <v>950000</v>
      </c>
      <c r="M23" s="37">
        <f t="shared" si="4"/>
        <v>50000</v>
      </c>
      <c r="N23" s="37">
        <v>815920</v>
      </c>
      <c r="O23" s="39">
        <f t="shared" si="5"/>
        <v>85.88631578947368</v>
      </c>
      <c r="P23" s="37">
        <v>1000000</v>
      </c>
      <c r="Q23" s="39">
        <f t="shared" si="6"/>
        <v>141.57608157047517</v>
      </c>
      <c r="R23" s="39">
        <f t="shared" si="7"/>
        <v>105.26315789473684</v>
      </c>
      <c r="S23" s="39">
        <f t="shared" si="8"/>
        <v>122.56103539562702</v>
      </c>
      <c r="T23" s="37">
        <v>1000000</v>
      </c>
      <c r="U23" s="37">
        <v>1000000</v>
      </c>
      <c r="V23" s="37">
        <f t="shared" si="9"/>
        <v>0</v>
      </c>
      <c r="W23" s="37"/>
      <c r="X23" s="37"/>
      <c r="Y23" s="37">
        <v>80798.38</v>
      </c>
      <c r="Z23" s="88">
        <f t="shared" si="0"/>
        <v>8.079838</v>
      </c>
      <c r="AA23" s="88"/>
      <c r="AB23" s="37">
        <v>181356.01</v>
      </c>
      <c r="AC23" s="88">
        <f t="shared" si="1"/>
        <v>18.135601</v>
      </c>
      <c r="AD23" s="37">
        <v>253455.84</v>
      </c>
      <c r="AE23" s="88">
        <f t="shared" si="2"/>
        <v>25.345584</v>
      </c>
      <c r="AF23" s="88">
        <v>526543</v>
      </c>
      <c r="AG23" s="37">
        <v>1000000</v>
      </c>
      <c r="AH23" s="88">
        <v>330479.29</v>
      </c>
      <c r="AI23" s="39">
        <f t="shared" si="10"/>
        <v>33.047928999999996</v>
      </c>
      <c r="AJ23" s="88">
        <v>416161.3</v>
      </c>
      <c r="AK23" s="39">
        <f t="shared" si="3"/>
        <v>41.61613</v>
      </c>
    </row>
    <row r="24" spans="1:37" s="36" customFormat="1" ht="12.75" customHeight="1">
      <c r="A24" s="35" t="s">
        <v>54</v>
      </c>
      <c r="C24" s="36" t="s">
        <v>55</v>
      </c>
      <c r="D24" s="37">
        <v>150000000</v>
      </c>
      <c r="E24" s="37">
        <v>146438262</v>
      </c>
      <c r="F24" s="38">
        <f>E24/D24*100</f>
        <v>97.62550800000001</v>
      </c>
      <c r="G24" s="37">
        <v>165000000</v>
      </c>
      <c r="H24" s="37">
        <v>157916691</v>
      </c>
      <c r="I24" s="38">
        <f>H24/G24*100</f>
        <v>95.70708545454546</v>
      </c>
      <c r="J24" s="37" t="e">
        <f>ROUND(#REF!,-5)</f>
        <v>#REF!</v>
      </c>
      <c r="K24" s="37">
        <v>180000000</v>
      </c>
      <c r="L24" s="37">
        <v>173600000</v>
      </c>
      <c r="M24" s="37">
        <f t="shared" si="4"/>
        <v>-6400000</v>
      </c>
      <c r="N24" s="37">
        <v>176827501</v>
      </c>
      <c r="O24" s="39">
        <f t="shared" si="5"/>
        <v>101.85915956221199</v>
      </c>
      <c r="P24" s="37">
        <f>185000000+10000000</f>
        <v>195000000</v>
      </c>
      <c r="Q24" s="39">
        <f t="shared" si="6"/>
        <v>123.4828305767881</v>
      </c>
      <c r="R24" s="39">
        <f t="shared" si="7"/>
        <v>112.32718894009217</v>
      </c>
      <c r="S24" s="39">
        <f t="shared" si="8"/>
        <v>110.27696421497242</v>
      </c>
      <c r="T24" s="37">
        <f>185000000+10000000</f>
        <v>195000000</v>
      </c>
      <c r="U24" s="37">
        <f>185000000+10000000</f>
        <v>195000000</v>
      </c>
      <c r="V24" s="37">
        <f t="shared" si="9"/>
        <v>0</v>
      </c>
      <c r="W24" s="37"/>
      <c r="X24" s="37"/>
      <c r="Y24" s="37">
        <v>6679677.49</v>
      </c>
      <c r="Z24" s="88">
        <f t="shared" si="0"/>
        <v>3.425475635897436</v>
      </c>
      <c r="AA24" s="88"/>
      <c r="AB24" s="37">
        <v>30058565.12</v>
      </c>
      <c r="AC24" s="88">
        <f t="shared" si="1"/>
        <v>15.41464877948718</v>
      </c>
      <c r="AD24" s="37">
        <v>60374995.59</v>
      </c>
      <c r="AE24" s="88">
        <f t="shared" si="2"/>
        <v>30.9615362</v>
      </c>
      <c r="AF24" s="88">
        <v>85485255</v>
      </c>
      <c r="AG24" s="37">
        <f>185000000+10000000</f>
        <v>195000000</v>
      </c>
      <c r="AH24" s="88">
        <v>76879066.1</v>
      </c>
      <c r="AI24" s="39">
        <f t="shared" si="10"/>
        <v>39.4251621025641</v>
      </c>
      <c r="AJ24" s="88">
        <v>90141284.82</v>
      </c>
      <c r="AK24" s="39">
        <f t="shared" si="3"/>
        <v>46.2262999076923</v>
      </c>
    </row>
    <row r="25" spans="1:37" s="36" customFormat="1" ht="12.75" customHeight="1">
      <c r="A25" s="35" t="s">
        <v>56</v>
      </c>
      <c r="C25" s="36" t="s">
        <v>57</v>
      </c>
      <c r="D25" s="37"/>
      <c r="E25" s="37"/>
      <c r="F25" s="38"/>
      <c r="G25" s="37"/>
      <c r="H25" s="37">
        <v>8949744</v>
      </c>
      <c r="I25" s="38"/>
      <c r="J25" s="37"/>
      <c r="K25" s="37">
        <v>9100000</v>
      </c>
      <c r="L25" s="37">
        <v>9400000</v>
      </c>
      <c r="M25" s="37">
        <f t="shared" si="4"/>
        <v>300000</v>
      </c>
      <c r="N25" s="37">
        <v>9659315</v>
      </c>
      <c r="O25" s="39">
        <f t="shared" si="5"/>
        <v>102.75867021276596</v>
      </c>
      <c r="P25" s="37">
        <v>10000000</v>
      </c>
      <c r="Q25" s="39">
        <f t="shared" si="6"/>
        <v>111.73503957208162</v>
      </c>
      <c r="R25" s="39">
        <f t="shared" si="7"/>
        <v>106.38297872340425</v>
      </c>
      <c r="S25" s="39">
        <f t="shared" si="8"/>
        <v>103.52700993807531</v>
      </c>
      <c r="T25" s="37">
        <v>10000000</v>
      </c>
      <c r="U25" s="37">
        <v>10000000</v>
      </c>
      <c r="V25" s="37">
        <f t="shared" si="9"/>
        <v>0</v>
      </c>
      <c r="W25" s="37"/>
      <c r="X25" s="37"/>
      <c r="Y25" s="37">
        <v>789992.45</v>
      </c>
      <c r="Z25" s="88">
        <f t="shared" si="0"/>
        <v>7.899924499999999</v>
      </c>
      <c r="AA25" s="88"/>
      <c r="AB25" s="37">
        <v>1556568.99</v>
      </c>
      <c r="AC25" s="88">
        <f t="shared" si="1"/>
        <v>15.565689899999999</v>
      </c>
      <c r="AD25" s="37">
        <f>3225648.77+7556.44</f>
        <v>3233205.21</v>
      </c>
      <c r="AE25" s="88">
        <f t="shared" si="2"/>
        <v>32.3320521</v>
      </c>
      <c r="AF25" s="88">
        <v>4516698</v>
      </c>
      <c r="AG25" s="37">
        <v>10000000</v>
      </c>
      <c r="AH25" s="88">
        <v>4164048.71</v>
      </c>
      <c r="AI25" s="39">
        <f t="shared" si="10"/>
        <v>41.6404871</v>
      </c>
      <c r="AJ25" s="88">
        <v>5027512.58</v>
      </c>
      <c r="AK25" s="39">
        <f t="shared" si="3"/>
        <v>50.2751258</v>
      </c>
    </row>
    <row r="26" spans="1:37" s="36" customFormat="1" ht="12.75" customHeight="1">
      <c r="A26" s="35" t="s">
        <v>58</v>
      </c>
      <c r="C26" s="36" t="s">
        <v>59</v>
      </c>
      <c r="D26" s="37">
        <v>3000000</v>
      </c>
      <c r="E26" s="37">
        <v>1859917</v>
      </c>
      <c r="F26" s="38">
        <f>E26/D26*100</f>
        <v>61.997233333333334</v>
      </c>
      <c r="G26" s="37">
        <v>4000000</v>
      </c>
      <c r="H26" s="37">
        <v>2312091</v>
      </c>
      <c r="I26" s="38">
        <f>H26/G26*100</f>
        <v>57.802275</v>
      </c>
      <c r="J26" s="37" t="e">
        <f>ROUND(#REF!,-5)</f>
        <v>#REF!</v>
      </c>
      <c r="K26" s="37">
        <v>2000000</v>
      </c>
      <c r="L26" s="37">
        <v>2000000</v>
      </c>
      <c r="M26" s="37">
        <f t="shared" si="4"/>
        <v>0</v>
      </c>
      <c r="N26" s="37">
        <v>1661329</v>
      </c>
      <c r="O26" s="39">
        <f t="shared" si="5"/>
        <v>83.06645</v>
      </c>
      <c r="P26" s="37">
        <v>2100000</v>
      </c>
      <c r="Q26" s="39">
        <f t="shared" si="6"/>
        <v>90.826874893765</v>
      </c>
      <c r="R26" s="39">
        <f t="shared" si="7"/>
        <v>105</v>
      </c>
      <c r="S26" s="39">
        <f t="shared" si="8"/>
        <v>126.40482408962946</v>
      </c>
      <c r="T26" s="37">
        <v>2100000</v>
      </c>
      <c r="U26" s="37">
        <v>2100000</v>
      </c>
      <c r="V26" s="37">
        <f t="shared" si="9"/>
        <v>0</v>
      </c>
      <c r="W26" s="37"/>
      <c r="X26" s="37"/>
      <c r="Y26" s="37">
        <v>42351.01</v>
      </c>
      <c r="Z26" s="88">
        <f t="shared" si="0"/>
        <v>2.016714761904762</v>
      </c>
      <c r="AA26" s="88"/>
      <c r="AB26" s="37">
        <v>99082.13</v>
      </c>
      <c r="AC26" s="88">
        <f t="shared" si="1"/>
        <v>4.7181966666666675</v>
      </c>
      <c r="AD26" s="37">
        <v>372285.25</v>
      </c>
      <c r="AE26" s="88">
        <f t="shared" si="2"/>
        <v>17.727869047619045</v>
      </c>
      <c r="AF26" s="88">
        <v>629074</v>
      </c>
      <c r="AG26" s="37">
        <v>2100000</v>
      </c>
      <c r="AH26" s="88">
        <v>416497.39</v>
      </c>
      <c r="AI26" s="39">
        <f t="shared" si="10"/>
        <v>19.83320904761905</v>
      </c>
      <c r="AJ26" s="88">
        <v>510999.41</v>
      </c>
      <c r="AK26" s="39">
        <f t="shared" si="3"/>
        <v>24.33330523809524</v>
      </c>
    </row>
    <row r="27" spans="1:37" s="36" customFormat="1" ht="12.75" customHeight="1">
      <c r="A27" s="35" t="s">
        <v>60</v>
      </c>
      <c r="C27" s="36" t="s">
        <v>61</v>
      </c>
      <c r="D27" s="37"/>
      <c r="E27" s="37"/>
      <c r="F27" s="38"/>
      <c r="G27" s="37"/>
      <c r="H27" s="37">
        <v>2787254</v>
      </c>
      <c r="I27" s="38"/>
      <c r="J27" s="37"/>
      <c r="K27" s="37">
        <v>3800000</v>
      </c>
      <c r="L27" s="37">
        <v>5000000</v>
      </c>
      <c r="M27" s="37">
        <f t="shared" si="4"/>
        <v>1200000</v>
      </c>
      <c r="N27" s="37">
        <v>4252217</v>
      </c>
      <c r="O27" s="39">
        <f t="shared" si="5"/>
        <v>85.04433999999999</v>
      </c>
      <c r="P27" s="37">
        <v>5300000</v>
      </c>
      <c r="Q27" s="39">
        <f t="shared" si="6"/>
        <v>190.1513102142826</v>
      </c>
      <c r="R27" s="39">
        <f t="shared" si="7"/>
        <v>106</v>
      </c>
      <c r="S27" s="39">
        <f t="shared" si="8"/>
        <v>124.64086381292394</v>
      </c>
      <c r="T27" s="37">
        <v>5300000</v>
      </c>
      <c r="U27" s="37">
        <v>5300000</v>
      </c>
      <c r="V27" s="37">
        <f t="shared" si="9"/>
        <v>0</v>
      </c>
      <c r="W27" s="37"/>
      <c r="X27" s="37"/>
      <c r="Y27" s="37">
        <v>56335.02</v>
      </c>
      <c r="Z27" s="88">
        <f t="shared" si="0"/>
        <v>1.0629249056603773</v>
      </c>
      <c r="AA27" s="88"/>
      <c r="AB27" s="37">
        <v>149069.78</v>
      </c>
      <c r="AC27" s="88">
        <f t="shared" si="1"/>
        <v>2.812637358490566</v>
      </c>
      <c r="AD27" s="37">
        <v>346593.76</v>
      </c>
      <c r="AE27" s="88">
        <f t="shared" si="2"/>
        <v>6.539504905660378</v>
      </c>
      <c r="AF27" s="88">
        <v>1202892</v>
      </c>
      <c r="AG27" s="37">
        <v>5300000</v>
      </c>
      <c r="AH27" s="88">
        <v>402884.95</v>
      </c>
      <c r="AI27" s="39">
        <f t="shared" si="10"/>
        <v>7.601602830188679</v>
      </c>
      <c r="AJ27" s="88">
        <v>489251.41</v>
      </c>
      <c r="AK27" s="39">
        <f t="shared" si="3"/>
        <v>9.231158679245283</v>
      </c>
    </row>
    <row r="28" spans="1:37" s="36" customFormat="1" ht="12.75" customHeight="1">
      <c r="A28" s="35" t="s">
        <v>62</v>
      </c>
      <c r="C28" s="36" t="s">
        <v>63</v>
      </c>
      <c r="D28" s="37">
        <v>85000000</v>
      </c>
      <c r="E28" s="37">
        <v>101364709</v>
      </c>
      <c r="F28" s="38">
        <f>E28/D28*100</f>
        <v>119.25259882352941</v>
      </c>
      <c r="G28" s="37">
        <v>106000000</v>
      </c>
      <c r="H28" s="37">
        <v>73919597</v>
      </c>
      <c r="I28" s="38">
        <f>H28/G28*100</f>
        <v>69.73546886792454</v>
      </c>
      <c r="J28" s="37" t="e">
        <f>ROUND(#REF!,-5)</f>
        <v>#REF!</v>
      </c>
      <c r="K28" s="37">
        <v>71800000</v>
      </c>
      <c r="L28" s="37">
        <v>78000000</v>
      </c>
      <c r="M28" s="37">
        <f t="shared" si="4"/>
        <v>6200000</v>
      </c>
      <c r="N28" s="37">
        <v>71867202</v>
      </c>
      <c r="O28" s="39">
        <f t="shared" si="5"/>
        <v>92.13743846153845</v>
      </c>
      <c r="P28" s="37">
        <v>83000000</v>
      </c>
      <c r="Q28" s="39">
        <f t="shared" si="6"/>
        <v>112.28416193881576</v>
      </c>
      <c r="R28" s="39">
        <f t="shared" si="7"/>
        <v>106.41025641025641</v>
      </c>
      <c r="S28" s="39">
        <f t="shared" si="8"/>
        <v>115.49079091739233</v>
      </c>
      <c r="T28" s="37">
        <v>83000000</v>
      </c>
      <c r="U28" s="37">
        <v>83000000</v>
      </c>
      <c r="V28" s="37">
        <f t="shared" si="9"/>
        <v>0</v>
      </c>
      <c r="W28" s="37"/>
      <c r="X28" s="37"/>
      <c r="Y28" s="37">
        <v>2054624.04</v>
      </c>
      <c r="Z28" s="88">
        <f t="shared" si="0"/>
        <v>2.4754506506024097</v>
      </c>
      <c r="AA28" s="88"/>
      <c r="AB28" s="37">
        <v>2834436.31</v>
      </c>
      <c r="AC28" s="88">
        <f t="shared" si="1"/>
        <v>3.4149835060240963</v>
      </c>
      <c r="AD28" s="37">
        <v>8059236.01</v>
      </c>
      <c r="AE28" s="88">
        <f t="shared" si="2"/>
        <v>9.709922903614457</v>
      </c>
      <c r="AF28" s="88">
        <v>34186803</v>
      </c>
      <c r="AG28" s="37">
        <v>83000000</v>
      </c>
      <c r="AH28" s="88">
        <v>11553859.7</v>
      </c>
      <c r="AI28" s="39">
        <f t="shared" si="10"/>
        <v>13.920312891566264</v>
      </c>
      <c r="AJ28" s="88">
        <v>22182014.14</v>
      </c>
      <c r="AK28" s="39">
        <f t="shared" si="3"/>
        <v>26.72531824096386</v>
      </c>
    </row>
    <row r="29" spans="1:37" s="36" customFormat="1" ht="12.75" customHeight="1">
      <c r="A29" s="35" t="s">
        <v>64</v>
      </c>
      <c r="C29" s="36" t="s">
        <v>65</v>
      </c>
      <c r="D29" s="37"/>
      <c r="E29" s="37"/>
      <c r="F29" s="38"/>
      <c r="G29" s="37"/>
      <c r="H29" s="37">
        <v>1852980</v>
      </c>
      <c r="I29" s="38"/>
      <c r="J29" s="37"/>
      <c r="K29" s="37">
        <v>3000000</v>
      </c>
      <c r="L29" s="37">
        <v>3000000</v>
      </c>
      <c r="M29" s="37">
        <f t="shared" si="4"/>
        <v>0</v>
      </c>
      <c r="N29" s="37">
        <v>2033988</v>
      </c>
      <c r="O29" s="39">
        <f t="shared" si="5"/>
        <v>67.7996</v>
      </c>
      <c r="P29" s="37">
        <v>3200000</v>
      </c>
      <c r="Q29" s="39">
        <f t="shared" si="6"/>
        <v>172.69479433129337</v>
      </c>
      <c r="R29" s="39">
        <f t="shared" si="7"/>
        <v>106.66666666666667</v>
      </c>
      <c r="S29" s="39">
        <f t="shared" si="8"/>
        <v>157.32639523930328</v>
      </c>
      <c r="T29" s="37">
        <v>3200000</v>
      </c>
      <c r="U29" s="37">
        <v>3200000</v>
      </c>
      <c r="V29" s="37">
        <f t="shared" si="9"/>
        <v>0</v>
      </c>
      <c r="W29" s="37"/>
      <c r="X29" s="37"/>
      <c r="Y29" s="37">
        <v>148410.43</v>
      </c>
      <c r="Z29" s="88">
        <f t="shared" si="0"/>
        <v>4.6378259375</v>
      </c>
      <c r="AA29" s="88"/>
      <c r="AB29" s="37">
        <v>217886.3</v>
      </c>
      <c r="AC29" s="88">
        <f t="shared" si="1"/>
        <v>6.808946874999999</v>
      </c>
      <c r="AD29" s="37">
        <v>449082.1</v>
      </c>
      <c r="AE29" s="88">
        <f t="shared" si="2"/>
        <v>14.033815624999999</v>
      </c>
      <c r="AF29" s="88">
        <v>1415350</v>
      </c>
      <c r="AG29" s="37">
        <v>3200000</v>
      </c>
      <c r="AH29" s="88">
        <v>505413.63</v>
      </c>
      <c r="AI29" s="39">
        <f t="shared" si="10"/>
        <v>15.794175937499999</v>
      </c>
      <c r="AJ29" s="88">
        <v>598683.88</v>
      </c>
      <c r="AK29" s="39">
        <f t="shared" si="3"/>
        <v>18.70887125</v>
      </c>
    </row>
    <row r="30" spans="1:37" s="36" customFormat="1" ht="12.75" customHeight="1">
      <c r="A30" s="35" t="s">
        <v>66</v>
      </c>
      <c r="C30" s="36" t="s">
        <v>67</v>
      </c>
      <c r="D30" s="37"/>
      <c r="E30" s="37"/>
      <c r="F30" s="38"/>
      <c r="G30" s="37"/>
      <c r="H30" s="37">
        <v>31524526</v>
      </c>
      <c r="I30" s="38"/>
      <c r="J30" s="37"/>
      <c r="K30" s="37">
        <v>46300000</v>
      </c>
      <c r="L30" s="37">
        <v>44000000</v>
      </c>
      <c r="M30" s="37">
        <f t="shared" si="4"/>
        <v>-2300000</v>
      </c>
      <c r="N30" s="37">
        <v>38861984</v>
      </c>
      <c r="O30" s="39">
        <f t="shared" si="5"/>
        <v>88.32269090909091</v>
      </c>
      <c r="P30" s="37">
        <v>46000000</v>
      </c>
      <c r="Q30" s="39">
        <f t="shared" si="6"/>
        <v>145.91813370960756</v>
      </c>
      <c r="R30" s="39">
        <f t="shared" si="7"/>
        <v>104.54545454545455</v>
      </c>
      <c r="S30" s="39">
        <f t="shared" si="8"/>
        <v>118.36760573006258</v>
      </c>
      <c r="T30" s="37">
        <v>46000000</v>
      </c>
      <c r="U30" s="37">
        <v>46000000</v>
      </c>
      <c r="V30" s="37">
        <f t="shared" si="9"/>
        <v>0</v>
      </c>
      <c r="W30" s="37"/>
      <c r="X30" s="37"/>
      <c r="Y30" s="37">
        <v>3096746.71</v>
      </c>
      <c r="Z30" s="88">
        <f t="shared" si="0"/>
        <v>6.732058065217392</v>
      </c>
      <c r="AA30" s="88"/>
      <c r="AB30" s="37">
        <v>6087012.25</v>
      </c>
      <c r="AC30" s="88">
        <f t="shared" si="1"/>
        <v>13.232635326086955</v>
      </c>
      <c r="AD30" s="37">
        <v>16555186.59</v>
      </c>
      <c r="AE30" s="88">
        <f t="shared" si="2"/>
        <v>35.98953606521739</v>
      </c>
      <c r="AF30" s="88">
        <v>22044702</v>
      </c>
      <c r="AG30" s="37">
        <v>46000000</v>
      </c>
      <c r="AH30" s="88">
        <v>20513031.51</v>
      </c>
      <c r="AI30" s="39">
        <f t="shared" si="10"/>
        <v>44.593546760869565</v>
      </c>
      <c r="AJ30" s="88">
        <v>23403806.81</v>
      </c>
      <c r="AK30" s="39">
        <f t="shared" si="3"/>
        <v>50.87784089130435</v>
      </c>
    </row>
    <row r="31" spans="1:37" s="36" customFormat="1" ht="12.75" customHeight="1">
      <c r="A31" s="35"/>
      <c r="C31" s="36" t="s">
        <v>68</v>
      </c>
      <c r="D31" s="37"/>
      <c r="E31" s="37"/>
      <c r="F31" s="38"/>
      <c r="G31" s="37"/>
      <c r="H31" s="37"/>
      <c r="I31" s="38"/>
      <c r="J31" s="37"/>
      <c r="K31" s="37"/>
      <c r="L31" s="37"/>
      <c r="M31" s="37"/>
      <c r="N31" s="37"/>
      <c r="O31" s="39"/>
      <c r="P31" s="37"/>
      <c r="Q31" s="39"/>
      <c r="R31" s="39"/>
      <c r="S31" s="39"/>
      <c r="T31" s="37"/>
      <c r="U31" s="37"/>
      <c r="V31" s="37"/>
      <c r="W31" s="37"/>
      <c r="X31" s="37"/>
      <c r="Y31" s="37"/>
      <c r="Z31" s="88"/>
      <c r="AA31" s="88"/>
      <c r="AB31" s="37"/>
      <c r="AC31" s="88"/>
      <c r="AD31" s="37"/>
      <c r="AE31" s="88"/>
      <c r="AF31" s="88"/>
      <c r="AG31" s="37"/>
      <c r="AH31" s="88"/>
      <c r="AI31" s="39"/>
      <c r="AJ31" s="88"/>
      <c r="AK31" s="39"/>
    </row>
    <row r="32" spans="1:37" s="36" customFormat="1" ht="12.75" customHeight="1">
      <c r="A32" s="35" t="s">
        <v>69</v>
      </c>
      <c r="C32" s="36" t="s">
        <v>70</v>
      </c>
      <c r="D32" s="37">
        <v>87000000</v>
      </c>
      <c r="E32" s="37">
        <v>88397638</v>
      </c>
      <c r="F32" s="38">
        <f>E32/D32*100</f>
        <v>101.60648045977013</v>
      </c>
      <c r="G32" s="37">
        <v>96000000</v>
      </c>
      <c r="H32" s="37">
        <v>94969914</v>
      </c>
      <c r="I32" s="38">
        <f>H32/G32*100</f>
        <v>98.92699375000001</v>
      </c>
      <c r="J32" s="37" t="e">
        <f>ROUND(#REF!,-5)</f>
        <v>#REF!</v>
      </c>
      <c r="K32" s="37">
        <v>107700000</v>
      </c>
      <c r="L32" s="37">
        <v>112900000</v>
      </c>
      <c r="M32" s="37">
        <f>L32-K32</f>
        <v>5200000</v>
      </c>
      <c r="N32" s="37">
        <v>108548787</v>
      </c>
      <c r="O32" s="39">
        <f>N32/L32*100</f>
        <v>96.14595837023914</v>
      </c>
      <c r="P32" s="37">
        <v>120000000</v>
      </c>
      <c r="Q32" s="39">
        <f>P32/H32*100</f>
        <v>126.35580569231641</v>
      </c>
      <c r="R32" s="39">
        <f>P32/L32*100</f>
        <v>106.28875110717448</v>
      </c>
      <c r="S32" s="39">
        <f>P32/N32*100</f>
        <v>110.54936984233643</v>
      </c>
      <c r="T32" s="37">
        <v>120000000</v>
      </c>
      <c r="U32" s="37">
        <v>120000000</v>
      </c>
      <c r="V32" s="37">
        <f>U32-P32</f>
        <v>0</v>
      </c>
      <c r="W32" s="37"/>
      <c r="X32" s="37"/>
      <c r="Y32" s="37">
        <v>9919399.49</v>
      </c>
      <c r="Z32" s="88">
        <f t="shared" si="0"/>
        <v>8.266166241666667</v>
      </c>
      <c r="AA32" s="88"/>
      <c r="AB32" s="37">
        <v>18537614.84</v>
      </c>
      <c r="AC32" s="88">
        <f t="shared" si="1"/>
        <v>15.448012366666667</v>
      </c>
      <c r="AD32" s="37">
        <v>37562931.38</v>
      </c>
      <c r="AE32" s="88">
        <f t="shared" si="2"/>
        <v>31.30244281666667</v>
      </c>
      <c r="AF32" s="88">
        <v>56720471</v>
      </c>
      <c r="AG32" s="37">
        <v>120000000</v>
      </c>
      <c r="AH32" s="88">
        <v>47666418.09</v>
      </c>
      <c r="AI32" s="39">
        <f>+AH32/AG32*100</f>
        <v>39.72201507500001</v>
      </c>
      <c r="AJ32" s="88">
        <v>57057621.01</v>
      </c>
      <c r="AK32" s="39">
        <f t="shared" si="3"/>
        <v>47.54801750833333</v>
      </c>
    </row>
    <row r="33" spans="1:37" s="36" customFormat="1" ht="12.75" customHeight="1">
      <c r="A33" s="35" t="s">
        <v>71</v>
      </c>
      <c r="C33" s="36" t="s">
        <v>72</v>
      </c>
      <c r="D33" s="37"/>
      <c r="E33" s="37"/>
      <c r="F33" s="38"/>
      <c r="G33" s="37"/>
      <c r="H33" s="37">
        <v>2321289</v>
      </c>
      <c r="I33" s="38"/>
      <c r="J33" s="37"/>
      <c r="K33" s="37">
        <v>2100000</v>
      </c>
      <c r="L33" s="37">
        <v>2100000</v>
      </c>
      <c r="M33" s="37">
        <f>L33-K33</f>
        <v>0</v>
      </c>
      <c r="N33" s="37">
        <v>1998846</v>
      </c>
      <c r="O33" s="39">
        <f>N33/L33*100</f>
        <v>95.18314285714285</v>
      </c>
      <c r="P33" s="37">
        <v>2200000</v>
      </c>
      <c r="Q33" s="39">
        <f>P33/H33*100</f>
        <v>94.77492892957318</v>
      </c>
      <c r="R33" s="39">
        <f>P33/L33*100</f>
        <v>104.76190476190477</v>
      </c>
      <c r="S33" s="39">
        <f>P33/N33*100</f>
        <v>110.0635066433332</v>
      </c>
      <c r="T33" s="37">
        <v>2200000</v>
      </c>
      <c r="U33" s="37">
        <v>2200000</v>
      </c>
      <c r="V33" s="37">
        <f>U33-P33</f>
        <v>0</v>
      </c>
      <c r="W33" s="37"/>
      <c r="X33" s="37"/>
      <c r="Y33" s="37">
        <v>131442.19</v>
      </c>
      <c r="Z33" s="88">
        <f t="shared" si="0"/>
        <v>5.974645</v>
      </c>
      <c r="AA33" s="88"/>
      <c r="AB33" s="37">
        <v>282546.79</v>
      </c>
      <c r="AC33" s="88">
        <f t="shared" si="1"/>
        <v>12.843035909090908</v>
      </c>
      <c r="AD33" s="37">
        <v>535898.33</v>
      </c>
      <c r="AE33" s="88">
        <f t="shared" si="2"/>
        <v>24.359015</v>
      </c>
      <c r="AF33" s="88">
        <v>1123577</v>
      </c>
      <c r="AG33" s="37">
        <v>2200000</v>
      </c>
      <c r="AH33" s="88">
        <v>763957.54</v>
      </c>
      <c r="AI33" s="39">
        <f>+AH33/AG33*100</f>
        <v>34.72534272727273</v>
      </c>
      <c r="AJ33" s="88">
        <v>979854.45</v>
      </c>
      <c r="AK33" s="39">
        <f t="shared" si="3"/>
        <v>44.538838636363636</v>
      </c>
    </row>
    <row r="34" spans="1:37" s="36" customFormat="1" ht="12.75" customHeight="1">
      <c r="A34" s="35"/>
      <c r="C34" s="36" t="s">
        <v>73</v>
      </c>
      <c r="D34" s="37"/>
      <c r="E34" s="37"/>
      <c r="F34" s="38"/>
      <c r="G34" s="37"/>
      <c r="H34" s="37"/>
      <c r="I34" s="38"/>
      <c r="J34" s="37"/>
      <c r="K34" s="37"/>
      <c r="L34" s="37"/>
      <c r="M34" s="37"/>
      <c r="N34" s="37"/>
      <c r="O34" s="39"/>
      <c r="P34" s="37"/>
      <c r="Q34" s="39"/>
      <c r="R34" s="39"/>
      <c r="S34" s="39"/>
      <c r="T34" s="37"/>
      <c r="U34" s="37"/>
      <c r="V34" s="37"/>
      <c r="W34" s="37"/>
      <c r="X34" s="37"/>
      <c r="Y34" s="37"/>
      <c r="Z34" s="88"/>
      <c r="AA34" s="88"/>
      <c r="AB34" s="37"/>
      <c r="AC34" s="88"/>
      <c r="AD34" s="37"/>
      <c r="AE34" s="88"/>
      <c r="AF34" s="88"/>
      <c r="AG34" s="37"/>
      <c r="AH34" s="88"/>
      <c r="AI34" s="39"/>
      <c r="AJ34" s="88"/>
      <c r="AK34" s="39"/>
    </row>
    <row r="35" spans="1:37" s="36" customFormat="1" ht="12.75" customHeight="1">
      <c r="A35" s="35" t="s">
        <v>74</v>
      </c>
      <c r="C35" s="36" t="s">
        <v>75</v>
      </c>
      <c r="D35" s="37">
        <v>34000000</v>
      </c>
      <c r="E35" s="37">
        <v>35637773</v>
      </c>
      <c r="F35" s="38">
        <f>E35/D35*100</f>
        <v>104.8169794117647</v>
      </c>
      <c r="G35" s="37">
        <v>35000000</v>
      </c>
      <c r="H35" s="37">
        <v>29200131</v>
      </c>
      <c r="I35" s="38">
        <f>H35/G35*100</f>
        <v>83.42894571428572</v>
      </c>
      <c r="J35" s="37" t="e">
        <f>ROUND(#REF!,-5)</f>
        <v>#REF!</v>
      </c>
      <c r="K35" s="37">
        <v>34000000</v>
      </c>
      <c r="L35" s="37">
        <v>23000000</v>
      </c>
      <c r="M35" s="37">
        <f>L35-K35</f>
        <v>-11000000</v>
      </c>
      <c r="N35" s="37">
        <v>24522127</v>
      </c>
      <c r="O35" s="39">
        <f>N35/L35*100</f>
        <v>106.61794347826088</v>
      </c>
      <c r="P35" s="37">
        <v>24500000</v>
      </c>
      <c r="Q35" s="39">
        <f>P35/H35*100</f>
        <v>83.90373317160802</v>
      </c>
      <c r="R35" s="39">
        <f>P35/L35*100</f>
        <v>106.5217391304348</v>
      </c>
      <c r="S35" s="39">
        <f>P35/N35*100</f>
        <v>99.90976720738784</v>
      </c>
      <c r="T35" s="37">
        <v>24500000</v>
      </c>
      <c r="U35" s="37">
        <v>24500000</v>
      </c>
      <c r="V35" s="37">
        <f>U35-P35</f>
        <v>0</v>
      </c>
      <c r="W35" s="37"/>
      <c r="X35" s="37"/>
      <c r="Y35" s="37">
        <v>1071747.46</v>
      </c>
      <c r="Z35" s="88">
        <f t="shared" si="0"/>
        <v>4.374479428571428</v>
      </c>
      <c r="AA35" s="88"/>
      <c r="AB35" s="37">
        <v>2707246.65</v>
      </c>
      <c r="AC35" s="88">
        <f t="shared" si="1"/>
        <v>11.049986326530611</v>
      </c>
      <c r="AD35" s="37">
        <v>6765862.96</v>
      </c>
      <c r="AE35" s="88">
        <f t="shared" si="2"/>
        <v>27.61576718367347</v>
      </c>
      <c r="AF35" s="88">
        <v>10474467</v>
      </c>
      <c r="AG35" s="37">
        <v>24500000</v>
      </c>
      <c r="AH35" s="88">
        <v>10539358.65</v>
      </c>
      <c r="AI35" s="39">
        <f>+AH35/AG35*100</f>
        <v>43.017790408163265</v>
      </c>
      <c r="AJ35" s="88">
        <v>12173591.11</v>
      </c>
      <c r="AK35" s="39">
        <f t="shared" si="3"/>
        <v>49.688126979591836</v>
      </c>
    </row>
    <row r="36" spans="1:37" ht="12.75" customHeight="1">
      <c r="A36" s="2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6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89"/>
      <c r="AA36" s="89"/>
      <c r="AB36" s="25"/>
      <c r="AC36" s="89"/>
      <c r="AD36" s="25"/>
      <c r="AE36" s="89"/>
      <c r="AF36" s="89"/>
      <c r="AH36" s="89"/>
      <c r="AI36" s="26"/>
      <c r="AJ36" s="89"/>
      <c r="AK36" s="26"/>
    </row>
    <row r="37" spans="1:37" s="31" customFormat="1" ht="12.75">
      <c r="A37" s="30">
        <v>703</v>
      </c>
      <c r="C37" s="31" t="s">
        <v>76</v>
      </c>
      <c r="D37" s="32">
        <f>D38+D45+D48+D51</f>
        <v>1563000000</v>
      </c>
      <c r="E37" s="32">
        <f>E38+E45+E48+E51</f>
        <v>1663306924</v>
      </c>
      <c r="F37" s="22">
        <f>E37/D37*100</f>
        <v>106.41758950735765</v>
      </c>
      <c r="G37" s="32">
        <f>G38+G45+G48+G51</f>
        <v>2065000000</v>
      </c>
      <c r="H37" s="32">
        <f>H38+H45+H48+H51</f>
        <v>2112152528</v>
      </c>
      <c r="I37" s="22">
        <f>H37/G37*100</f>
        <v>102.28341539951573</v>
      </c>
      <c r="J37" s="32">
        <f>J38+J45+J48+J51</f>
        <v>1307000000</v>
      </c>
      <c r="K37" s="32">
        <f>K38+K45+K48+K51</f>
        <v>1863000000</v>
      </c>
      <c r="L37" s="32">
        <f>L38+L45+L48+L51</f>
        <v>1919560000</v>
      </c>
      <c r="M37" s="33">
        <f aca="true" t="shared" si="11" ref="M37:M46">L37-K37</f>
        <v>56560000</v>
      </c>
      <c r="N37" s="32">
        <f>N38+N45+N48+N51</f>
        <v>2022252566</v>
      </c>
      <c r="O37" s="34">
        <f>N37/L37*100</f>
        <v>105.34979714101149</v>
      </c>
      <c r="P37" s="32">
        <f>P38+P45+P48+P51</f>
        <v>2012600000</v>
      </c>
      <c r="Q37" s="22">
        <f>P37/H37*100</f>
        <v>95.28667903097573</v>
      </c>
      <c r="R37" s="22">
        <f aca="true" t="shared" si="12" ref="R37:R46">P37/L37*100</f>
        <v>104.84694409135426</v>
      </c>
      <c r="S37" s="22">
        <f>P37/N37*100</f>
        <v>99.52268246992053</v>
      </c>
      <c r="T37" s="32">
        <f>T38+T45+T48+T51</f>
        <v>2012600000</v>
      </c>
      <c r="U37" s="32">
        <f>U38+U45+U48+U51</f>
        <v>2012600000</v>
      </c>
      <c r="V37" s="33">
        <f aca="true" t="shared" si="13" ref="V37:V54">U37-P37</f>
        <v>0</v>
      </c>
      <c r="W37" s="33"/>
      <c r="X37" s="33"/>
      <c r="Y37" s="32">
        <f>Y38+Y45+Y48+Y51</f>
        <v>119065163.61999999</v>
      </c>
      <c r="Z37" s="87">
        <f t="shared" si="0"/>
        <v>5.915987460001987</v>
      </c>
      <c r="AA37" s="87">
        <f>AA38+AA45+AA48+AA51</f>
        <v>0</v>
      </c>
      <c r="AB37" s="32">
        <f>AB38+AB45+AB48+AB51</f>
        <v>208214794.09</v>
      </c>
      <c r="AC37" s="87">
        <f t="shared" si="1"/>
        <v>10.345562659743615</v>
      </c>
      <c r="AD37" s="32">
        <f>AD38+AD45+AD48+AD51</f>
        <v>531708943.73</v>
      </c>
      <c r="AE37" s="87">
        <f t="shared" si="2"/>
        <v>26.41900743963033</v>
      </c>
      <c r="AF37" s="87">
        <f>AF38+AF45+AF48+AF51</f>
        <v>904192241</v>
      </c>
      <c r="AG37" s="32">
        <f>AG38+AG45+AG48+AG51</f>
        <v>2032600000</v>
      </c>
      <c r="AH37" s="87">
        <f>AH38+AH45+AH48+AH51</f>
        <v>705021340.42</v>
      </c>
      <c r="AI37" s="22">
        <f>+AH37/AG37*100</f>
        <v>34.68569026960543</v>
      </c>
      <c r="AJ37" s="87">
        <f>AJ38+AJ45+AJ48+AJ51</f>
        <v>871108197.1199998</v>
      </c>
      <c r="AK37" s="22">
        <f t="shared" si="3"/>
        <v>42.85684331004623</v>
      </c>
    </row>
    <row r="38" spans="1:37" s="31" customFormat="1" ht="12.75">
      <c r="A38" s="30">
        <v>7030</v>
      </c>
      <c r="C38" s="31" t="s">
        <v>77</v>
      </c>
      <c r="D38" s="32">
        <f>SUM(D39:D42)</f>
        <v>1220000000</v>
      </c>
      <c r="E38" s="32">
        <f>SUM(E39:E42)</f>
        <v>1230429769</v>
      </c>
      <c r="F38" s="34">
        <f>E38/D38*100</f>
        <v>100.85489909836065</v>
      </c>
      <c r="G38" s="32">
        <f>SUM(G39:G42)</f>
        <v>1480000000</v>
      </c>
      <c r="H38" s="32">
        <f>SUM(H39:H44)</f>
        <v>1563285803</v>
      </c>
      <c r="I38" s="32">
        <f>SUM(I39:I44)</f>
        <v>159.16473184931507</v>
      </c>
      <c r="J38" s="32">
        <f>SUM(J39:J44)</f>
        <v>1307000000</v>
      </c>
      <c r="K38" s="32">
        <f>SUM(K39:K44)</f>
        <v>1353440000</v>
      </c>
      <c r="L38" s="32">
        <f>SUM(L39:L44)</f>
        <v>1345000000</v>
      </c>
      <c r="M38" s="33">
        <f t="shared" si="11"/>
        <v>-8440000</v>
      </c>
      <c r="N38" s="32">
        <f>SUM(N39:N44)</f>
        <v>1459328752</v>
      </c>
      <c r="O38" s="34">
        <f>N38/L38*100</f>
        <v>108.50027895910782</v>
      </c>
      <c r="P38" s="32">
        <f>SUM(P39:P44)</f>
        <v>1402000000</v>
      </c>
      <c r="Q38" s="22">
        <f>P38/H38*100</f>
        <v>89.68289722260081</v>
      </c>
      <c r="R38" s="22">
        <f t="shared" si="12"/>
        <v>104.23791821561339</v>
      </c>
      <c r="S38" s="22">
        <f>P38/N38*100</f>
        <v>96.07156701864255</v>
      </c>
      <c r="T38" s="32">
        <f>SUM(T39:T44)</f>
        <v>1401000000</v>
      </c>
      <c r="U38" s="32">
        <f>SUM(U39:U44)</f>
        <v>1401000000</v>
      </c>
      <c r="V38" s="33">
        <f t="shared" si="13"/>
        <v>-1000000</v>
      </c>
      <c r="W38" s="33"/>
      <c r="X38" s="33"/>
      <c r="Y38" s="32">
        <f>SUM(Y39:Y44)</f>
        <v>102588912.88999999</v>
      </c>
      <c r="Z38" s="87">
        <f t="shared" si="0"/>
        <v>7.317326169044222</v>
      </c>
      <c r="AA38" s="87">
        <f>SUM(AA39:AA44)</f>
        <v>0</v>
      </c>
      <c r="AB38" s="32">
        <f>SUM(AB39:AB44)</f>
        <v>168762385.81</v>
      </c>
      <c r="AC38" s="87">
        <f t="shared" si="1"/>
        <v>12.037260043509272</v>
      </c>
      <c r="AD38" s="32">
        <f>SUM(AD39:AD44)</f>
        <v>379191979.82000005</v>
      </c>
      <c r="AE38" s="87">
        <f t="shared" si="2"/>
        <v>27.04650355349501</v>
      </c>
      <c r="AF38" s="87">
        <f>SUM(AF39:AF44)</f>
        <v>610104104</v>
      </c>
      <c r="AG38" s="32">
        <f>SUM(AG39:AG44)</f>
        <v>1421000000</v>
      </c>
      <c r="AH38" s="87">
        <f>SUM(AH39:AH44)</f>
        <v>515426256.39</v>
      </c>
      <c r="AI38" s="22">
        <f>+AH38/AG38*100</f>
        <v>36.27207997114708</v>
      </c>
      <c r="AJ38" s="87">
        <f>SUM(AJ39:AJ44)</f>
        <v>637329584.7299999</v>
      </c>
      <c r="AK38" s="22">
        <f t="shared" si="3"/>
        <v>44.85078006544686</v>
      </c>
    </row>
    <row r="39" spans="1:37" s="36" customFormat="1" ht="12.75" customHeight="1">
      <c r="A39" s="35" t="s">
        <v>78</v>
      </c>
      <c r="C39" s="36" t="s">
        <v>79</v>
      </c>
      <c r="D39" s="37">
        <v>20000000</v>
      </c>
      <c r="E39" s="37">
        <v>16605936</v>
      </c>
      <c r="F39" s="38">
        <f>E39/D39*100</f>
        <v>83.02968</v>
      </c>
      <c r="G39" s="37">
        <v>20000000</v>
      </c>
      <c r="H39" s="37">
        <v>15536296</v>
      </c>
      <c r="I39" s="38">
        <f>H39/G39*100</f>
        <v>77.68148000000001</v>
      </c>
      <c r="J39" s="37">
        <v>17000000</v>
      </c>
      <c r="K39" s="37">
        <v>11920000</v>
      </c>
      <c r="L39" s="37">
        <v>6000000</v>
      </c>
      <c r="M39" s="37">
        <f t="shared" si="11"/>
        <v>-5920000</v>
      </c>
      <c r="N39" s="37">
        <v>9660100</v>
      </c>
      <c r="O39" s="39">
        <f>N39/L39*100</f>
        <v>161.00166666666667</v>
      </c>
      <c r="P39" s="37">
        <v>7000000</v>
      </c>
      <c r="Q39" s="39">
        <f>P39/H39*100</f>
        <v>45.05578421008457</v>
      </c>
      <c r="R39" s="39">
        <f t="shared" si="12"/>
        <v>116.66666666666667</v>
      </c>
      <c r="S39" s="39">
        <f>P39/N39*100</f>
        <v>72.46301798118033</v>
      </c>
      <c r="T39" s="37">
        <v>7000000</v>
      </c>
      <c r="U39" s="37">
        <v>7000000</v>
      </c>
      <c r="V39" s="37">
        <f t="shared" si="13"/>
        <v>0</v>
      </c>
      <c r="W39" s="37"/>
      <c r="X39" s="37"/>
      <c r="Y39" s="37">
        <v>876365.54</v>
      </c>
      <c r="Z39" s="88">
        <f t="shared" si="0"/>
        <v>12.519507714285716</v>
      </c>
      <c r="AA39" s="88"/>
      <c r="AB39" s="37">
        <v>1733755.06</v>
      </c>
      <c r="AC39" s="88">
        <f t="shared" si="1"/>
        <v>24.767929428571428</v>
      </c>
      <c r="AD39" s="37">
        <v>3144284.49</v>
      </c>
      <c r="AE39" s="88">
        <f t="shared" si="2"/>
        <v>44.91834985714286</v>
      </c>
      <c r="AF39" s="88">
        <v>230849</v>
      </c>
      <c r="AG39" s="37">
        <v>7000000</v>
      </c>
      <c r="AH39" s="88">
        <v>3196022.55</v>
      </c>
      <c r="AI39" s="39">
        <f>+AH39/AG39*100</f>
        <v>45.657464999999995</v>
      </c>
      <c r="AJ39" s="88">
        <v>3441120.53</v>
      </c>
      <c r="AK39" s="39">
        <f t="shared" si="3"/>
        <v>49.15886471428571</v>
      </c>
    </row>
    <row r="40" spans="1:37" s="36" customFormat="1" ht="12.75" customHeight="1">
      <c r="A40" s="35" t="s">
        <v>80</v>
      </c>
      <c r="C40" s="36" t="s">
        <v>81</v>
      </c>
      <c r="D40" s="37"/>
      <c r="E40" s="37"/>
      <c r="F40" s="38"/>
      <c r="G40" s="37"/>
      <c r="H40" s="37">
        <v>0</v>
      </c>
      <c r="I40" s="38"/>
      <c r="J40" s="37"/>
      <c r="K40" s="37">
        <v>4520000</v>
      </c>
      <c r="L40" s="37">
        <v>2000000</v>
      </c>
      <c r="M40" s="37">
        <f t="shared" si="11"/>
        <v>-2520000</v>
      </c>
      <c r="N40" s="37">
        <v>1973290</v>
      </c>
      <c r="O40" s="39">
        <f>N40/L40*100</f>
        <v>98.6645</v>
      </c>
      <c r="P40" s="37">
        <v>2000000</v>
      </c>
      <c r="Q40" s="39"/>
      <c r="R40" s="39">
        <f t="shared" si="12"/>
        <v>100</v>
      </c>
      <c r="S40" s="39">
        <f>P40/N40*100</f>
        <v>101.35357702111702</v>
      </c>
      <c r="T40" s="37">
        <v>2000000</v>
      </c>
      <c r="U40" s="37">
        <v>2000000</v>
      </c>
      <c r="V40" s="37">
        <f t="shared" si="13"/>
        <v>0</v>
      </c>
      <c r="W40" s="37"/>
      <c r="X40" s="37"/>
      <c r="Y40" s="37">
        <v>176405.68</v>
      </c>
      <c r="Z40" s="88">
        <f t="shared" si="0"/>
        <v>8.820284</v>
      </c>
      <c r="AA40" s="88"/>
      <c r="AB40" s="37">
        <v>353173.63</v>
      </c>
      <c r="AC40" s="88">
        <f t="shared" si="1"/>
        <v>17.6586815</v>
      </c>
      <c r="AD40" s="37">
        <v>657984.67</v>
      </c>
      <c r="AE40" s="88">
        <f t="shared" si="2"/>
        <v>32.8992335</v>
      </c>
      <c r="AF40" s="88">
        <v>87832</v>
      </c>
      <c r="AG40" s="37">
        <v>2000000</v>
      </c>
      <c r="AH40" s="88">
        <v>668811.55</v>
      </c>
      <c r="AI40" s="39">
        <f>+AH40/AG40*100</f>
        <v>33.4405775</v>
      </c>
      <c r="AJ40" s="88">
        <v>668811.55</v>
      </c>
      <c r="AK40" s="39">
        <f t="shared" si="3"/>
        <v>33.4405775</v>
      </c>
    </row>
    <row r="41" spans="1:37" s="36" customFormat="1" ht="12.75" customHeight="1" hidden="1">
      <c r="A41" s="35" t="s">
        <v>82</v>
      </c>
      <c r="C41" s="36" t="s">
        <v>83</v>
      </c>
      <c r="D41" s="37"/>
      <c r="E41" s="37"/>
      <c r="F41" s="38"/>
      <c r="G41" s="37"/>
      <c r="H41" s="37">
        <v>1057999</v>
      </c>
      <c r="I41" s="38"/>
      <c r="J41" s="37"/>
      <c r="K41" s="37">
        <v>1000000</v>
      </c>
      <c r="L41" s="37">
        <v>1000000</v>
      </c>
      <c r="M41" s="37">
        <f t="shared" si="11"/>
        <v>0</v>
      </c>
      <c r="N41" s="37"/>
      <c r="O41" s="39"/>
      <c r="P41" s="37">
        <v>1000000</v>
      </c>
      <c r="Q41" s="39">
        <f>P41/H41*100</f>
        <v>94.51804774862737</v>
      </c>
      <c r="R41" s="39">
        <f t="shared" si="12"/>
        <v>100</v>
      </c>
      <c r="S41" s="39"/>
      <c r="T41" s="37"/>
      <c r="U41" s="37"/>
      <c r="V41" s="37">
        <f t="shared" si="13"/>
        <v>-1000000</v>
      </c>
      <c r="W41" s="37"/>
      <c r="X41" s="37"/>
      <c r="Y41" s="37">
        <v>0</v>
      </c>
      <c r="Z41" s="88">
        <f t="shared" si="0"/>
        <v>0</v>
      </c>
      <c r="AA41" s="88"/>
      <c r="AB41" s="37">
        <v>0</v>
      </c>
      <c r="AC41" s="88">
        <f t="shared" si="1"/>
        <v>0</v>
      </c>
      <c r="AD41" s="37"/>
      <c r="AE41" s="88">
        <f t="shared" si="2"/>
        <v>0</v>
      </c>
      <c r="AF41" s="88"/>
      <c r="AG41" s="37"/>
      <c r="AH41" s="88">
        <v>0</v>
      </c>
      <c r="AI41" s="39"/>
      <c r="AJ41" s="88"/>
      <c r="AK41" s="39" t="e">
        <f t="shared" si="3"/>
        <v>#DIV/0!</v>
      </c>
    </row>
    <row r="42" spans="1:37" s="36" customFormat="1" ht="12.75" customHeight="1">
      <c r="A42" s="35" t="s">
        <v>84</v>
      </c>
      <c r="C42" s="36" t="s">
        <v>85</v>
      </c>
      <c r="D42" s="37">
        <v>1200000000</v>
      </c>
      <c r="E42" s="37">
        <v>1213823833</v>
      </c>
      <c r="F42" s="38">
        <f>E42/D42*100</f>
        <v>101.15198608333333</v>
      </c>
      <c r="G42" s="37">
        <v>1460000000</v>
      </c>
      <c r="H42" s="37">
        <v>1189655477</v>
      </c>
      <c r="I42" s="38">
        <f>H42/G42*100</f>
        <v>81.48325184931507</v>
      </c>
      <c r="J42" s="37">
        <f>1240000000+50000000</f>
        <v>1290000000</v>
      </c>
      <c r="K42" s="37">
        <v>1248000000</v>
      </c>
      <c r="L42" s="37">
        <v>1060000000</v>
      </c>
      <c r="M42" s="37">
        <f t="shared" si="11"/>
        <v>-188000000</v>
      </c>
      <c r="N42" s="37">
        <v>1127309098</v>
      </c>
      <c r="O42" s="39">
        <f aca="true" t="shared" si="14" ref="O42:O49">N42/L42*100</f>
        <v>106.34991490566037</v>
      </c>
      <c r="P42" s="37">
        <v>1100000000</v>
      </c>
      <c r="Q42" s="39">
        <f>P42/H42*100</f>
        <v>92.46374444254334</v>
      </c>
      <c r="R42" s="39">
        <f t="shared" si="12"/>
        <v>103.77358490566037</v>
      </c>
      <c r="S42" s="39">
        <f aca="true" t="shared" si="15" ref="S42:S54">P42/N42*100</f>
        <v>97.57749688630652</v>
      </c>
      <c r="T42" s="37">
        <v>1100000000</v>
      </c>
      <c r="U42" s="37">
        <v>1100000000</v>
      </c>
      <c r="V42" s="37">
        <f t="shared" si="13"/>
        <v>0</v>
      </c>
      <c r="W42" s="37"/>
      <c r="X42" s="37"/>
      <c r="Y42" s="37">
        <v>92800524.96</v>
      </c>
      <c r="Z42" s="88">
        <f t="shared" si="0"/>
        <v>8.43641136</v>
      </c>
      <c r="AA42" s="88"/>
      <c r="AB42" s="37">
        <v>149001763.53</v>
      </c>
      <c r="AC42" s="88">
        <f t="shared" si="1"/>
        <v>13.545614866363637</v>
      </c>
      <c r="AD42" s="37">
        <v>330299034.43</v>
      </c>
      <c r="AE42" s="88">
        <f t="shared" si="2"/>
        <v>30.02718494818182</v>
      </c>
      <c r="AF42" s="88">
        <v>569345905</v>
      </c>
      <c r="AG42" s="37">
        <v>1067000000</v>
      </c>
      <c r="AH42" s="88">
        <v>398710264.14</v>
      </c>
      <c r="AI42" s="39">
        <f aca="true" t="shared" si="16" ref="AI42:AI54">+AH42/AG42*100</f>
        <v>37.3674099475164</v>
      </c>
      <c r="AJ42" s="88">
        <v>475979823.74</v>
      </c>
      <c r="AK42" s="39">
        <f t="shared" si="3"/>
        <v>44.60916811059044</v>
      </c>
    </row>
    <row r="43" spans="1:37" s="36" customFormat="1" ht="12.75" customHeight="1">
      <c r="A43" s="35" t="s">
        <v>86</v>
      </c>
      <c r="C43" s="36" t="s">
        <v>87</v>
      </c>
      <c r="D43" s="37"/>
      <c r="E43" s="37"/>
      <c r="F43" s="38"/>
      <c r="G43" s="37"/>
      <c r="H43" s="37">
        <v>294399620</v>
      </c>
      <c r="I43" s="38"/>
      <c r="J43" s="37"/>
      <c r="K43" s="37">
        <v>40000000</v>
      </c>
      <c r="L43" s="37">
        <v>250000000</v>
      </c>
      <c r="M43" s="37">
        <f t="shared" si="11"/>
        <v>210000000</v>
      </c>
      <c r="N43" s="37">
        <v>291471573</v>
      </c>
      <c r="O43" s="39">
        <f t="shared" si="14"/>
        <v>116.5886292</v>
      </c>
      <c r="P43" s="37">
        <v>265000000</v>
      </c>
      <c r="Q43" s="39">
        <f>P43/H43*100</f>
        <v>90.01370314268749</v>
      </c>
      <c r="R43" s="39">
        <f t="shared" si="12"/>
        <v>106</v>
      </c>
      <c r="S43" s="39">
        <f t="shared" si="15"/>
        <v>90.91795720332563</v>
      </c>
      <c r="T43" s="37">
        <v>265000000</v>
      </c>
      <c r="U43" s="37">
        <v>265000000</v>
      </c>
      <c r="V43" s="37">
        <f t="shared" si="13"/>
        <v>0</v>
      </c>
      <c r="W43" s="37"/>
      <c r="X43" s="37"/>
      <c r="Y43" s="37">
        <v>5430863.25</v>
      </c>
      <c r="Z43" s="88">
        <f t="shared" si="0"/>
        <v>2.049382358490566</v>
      </c>
      <c r="AA43" s="88"/>
      <c r="AB43" s="37">
        <v>15121463.04</v>
      </c>
      <c r="AC43" s="88">
        <f t="shared" si="1"/>
        <v>5.706212467924527</v>
      </c>
      <c r="AD43" s="37">
        <v>37392554</v>
      </c>
      <c r="AE43" s="88">
        <f t="shared" si="2"/>
        <v>14.110397735849055</v>
      </c>
      <c r="AF43" s="88">
        <v>18546041</v>
      </c>
      <c r="AG43" s="37">
        <v>315000000</v>
      </c>
      <c r="AH43" s="88">
        <v>94900785.21</v>
      </c>
      <c r="AI43" s="39">
        <f t="shared" si="16"/>
        <v>30.127233399999998</v>
      </c>
      <c r="AJ43" s="88">
        <v>135914335.98</v>
      </c>
      <c r="AK43" s="39">
        <f t="shared" si="3"/>
        <v>43.14740824761905</v>
      </c>
    </row>
    <row r="44" spans="1:37" s="36" customFormat="1" ht="12.75" customHeight="1">
      <c r="A44" s="35" t="s">
        <v>88</v>
      </c>
      <c r="C44" s="36" t="s">
        <v>89</v>
      </c>
      <c r="D44" s="37"/>
      <c r="E44" s="37"/>
      <c r="F44" s="38"/>
      <c r="G44" s="37"/>
      <c r="H44" s="37">
        <v>62636411</v>
      </c>
      <c r="I44" s="38"/>
      <c r="J44" s="37"/>
      <c r="K44" s="37">
        <v>48000000</v>
      </c>
      <c r="L44" s="37">
        <v>26000000</v>
      </c>
      <c r="M44" s="37">
        <f t="shared" si="11"/>
        <v>-22000000</v>
      </c>
      <c r="N44" s="37">
        <v>28914691</v>
      </c>
      <c r="O44" s="39">
        <f t="shared" si="14"/>
        <v>111.21034999999999</v>
      </c>
      <c r="P44" s="37">
        <v>27000000</v>
      </c>
      <c r="Q44" s="39">
        <f>P44/H44*100</f>
        <v>43.105918057789104</v>
      </c>
      <c r="R44" s="39">
        <f t="shared" si="12"/>
        <v>103.84615384615385</v>
      </c>
      <c r="S44" s="39">
        <f t="shared" si="15"/>
        <v>93.37813777778223</v>
      </c>
      <c r="T44" s="37">
        <v>27000000</v>
      </c>
      <c r="U44" s="37">
        <v>27000000</v>
      </c>
      <c r="V44" s="37">
        <f t="shared" si="13"/>
        <v>0</v>
      </c>
      <c r="W44" s="37"/>
      <c r="X44" s="37"/>
      <c r="Y44" s="37">
        <v>3304753.46</v>
      </c>
      <c r="Z44" s="88">
        <f t="shared" si="0"/>
        <v>12.23982762962963</v>
      </c>
      <c r="AA44" s="88"/>
      <c r="AB44" s="37">
        <v>2552230.55</v>
      </c>
      <c r="AC44" s="88">
        <f t="shared" si="1"/>
        <v>9.45270574074074</v>
      </c>
      <c r="AD44" s="37">
        <v>7698122.23</v>
      </c>
      <c r="AE44" s="88">
        <f t="shared" si="2"/>
        <v>28.511563814814817</v>
      </c>
      <c r="AF44" s="88">
        <v>21893477</v>
      </c>
      <c r="AG44" s="37">
        <v>30000000</v>
      </c>
      <c r="AH44" s="88">
        <v>17950372.94</v>
      </c>
      <c r="AI44" s="39">
        <f t="shared" si="16"/>
        <v>59.83457646666667</v>
      </c>
      <c r="AJ44" s="88">
        <v>21325492.93</v>
      </c>
      <c r="AK44" s="39">
        <f t="shared" si="3"/>
        <v>71.08497643333334</v>
      </c>
    </row>
    <row r="45" spans="1:37" s="31" customFormat="1" ht="12.75">
      <c r="A45" s="30">
        <v>7031</v>
      </c>
      <c r="C45" s="31" t="s">
        <v>90</v>
      </c>
      <c r="D45" s="32">
        <f>D46</f>
        <v>0</v>
      </c>
      <c r="E45" s="32">
        <f>E46</f>
        <v>0</v>
      </c>
      <c r="F45" s="32"/>
      <c r="G45" s="32">
        <f>G46</f>
        <v>0</v>
      </c>
      <c r="H45" s="32">
        <f>SUM(H46:H47)</f>
        <v>0</v>
      </c>
      <c r="I45" s="32">
        <f>SUM(I46:I47)</f>
        <v>0</v>
      </c>
      <c r="J45" s="32">
        <f>SUM(J46:J47)</f>
        <v>0</v>
      </c>
      <c r="K45" s="32">
        <f>SUM(K46:K47)</f>
        <v>560000</v>
      </c>
      <c r="L45" s="32">
        <f>SUM(L46:L47)</f>
        <v>560000</v>
      </c>
      <c r="M45" s="33">
        <f t="shared" si="11"/>
        <v>0</v>
      </c>
      <c r="N45" s="32">
        <f>SUM(N46:N47)</f>
        <v>196518</v>
      </c>
      <c r="O45" s="34">
        <f t="shared" si="14"/>
        <v>35.0925</v>
      </c>
      <c r="P45" s="32">
        <f>SUM(P46:P47)</f>
        <v>600000</v>
      </c>
      <c r="Q45" s="22"/>
      <c r="R45" s="22">
        <f t="shared" si="12"/>
        <v>107.14285714285714</v>
      </c>
      <c r="S45" s="22">
        <f t="shared" si="15"/>
        <v>305.3155436143254</v>
      </c>
      <c r="T45" s="32">
        <f>SUM(T46:T47)</f>
        <v>600000</v>
      </c>
      <c r="U45" s="32">
        <f>SUM(U46:U47)</f>
        <v>600000</v>
      </c>
      <c r="V45" s="33">
        <f t="shared" si="13"/>
        <v>0</v>
      </c>
      <c r="W45" s="33"/>
      <c r="X45" s="33"/>
      <c r="Y45" s="32">
        <f>SUM(Y46:Y47)</f>
        <v>0</v>
      </c>
      <c r="Z45" s="87">
        <f t="shared" si="0"/>
        <v>0</v>
      </c>
      <c r="AA45" s="87">
        <f>SUM(AA46:AA47)</f>
        <v>0</v>
      </c>
      <c r="AB45" s="32">
        <f>SUM(AB46:AB47)</f>
        <v>26955.55</v>
      </c>
      <c r="AC45" s="87">
        <f t="shared" si="1"/>
        <v>4.492591666666666</v>
      </c>
      <c r="AD45" s="32">
        <f>SUM(AD46:AD47)</f>
        <v>50219.95</v>
      </c>
      <c r="AE45" s="87">
        <f t="shared" si="2"/>
        <v>8.369991666666667</v>
      </c>
      <c r="AF45" s="87">
        <f>SUM(AF46:AF47)</f>
        <v>10826</v>
      </c>
      <c r="AG45" s="32">
        <f>SUM(AG46:AG47)</f>
        <v>600000</v>
      </c>
      <c r="AH45" s="87">
        <f>SUM(AH46:AH47)</f>
        <v>65209.55</v>
      </c>
      <c r="AI45" s="22">
        <f t="shared" si="16"/>
        <v>10.868258333333333</v>
      </c>
      <c r="AJ45" s="87">
        <f>SUM(AJ46:AJ47)</f>
        <v>65209.55</v>
      </c>
      <c r="AK45" s="22">
        <f t="shared" si="3"/>
        <v>10.868258333333333</v>
      </c>
    </row>
    <row r="46" spans="1:37" s="36" customFormat="1" ht="12.75" customHeight="1">
      <c r="A46" s="35" t="s">
        <v>91</v>
      </c>
      <c r="C46" s="36" t="s">
        <v>92</v>
      </c>
      <c r="D46" s="37">
        <v>0</v>
      </c>
      <c r="E46" s="37">
        <v>0</v>
      </c>
      <c r="F46" s="37"/>
      <c r="G46" s="37">
        <v>0</v>
      </c>
      <c r="H46" s="37">
        <v>0</v>
      </c>
      <c r="I46" s="37"/>
      <c r="J46" s="37"/>
      <c r="K46" s="37">
        <v>560000</v>
      </c>
      <c r="L46" s="37">
        <v>560000</v>
      </c>
      <c r="M46" s="37">
        <f t="shared" si="11"/>
        <v>0</v>
      </c>
      <c r="N46" s="37">
        <v>196518</v>
      </c>
      <c r="O46" s="39">
        <f t="shared" si="14"/>
        <v>35.0925</v>
      </c>
      <c r="P46" s="37">
        <v>600000</v>
      </c>
      <c r="Q46" s="39"/>
      <c r="R46" s="39">
        <f t="shared" si="12"/>
        <v>107.14285714285714</v>
      </c>
      <c r="S46" s="39">
        <f t="shared" si="15"/>
        <v>305.3155436143254</v>
      </c>
      <c r="T46" s="37">
        <v>600000</v>
      </c>
      <c r="U46" s="37">
        <v>600000</v>
      </c>
      <c r="V46" s="37">
        <f t="shared" si="13"/>
        <v>0</v>
      </c>
      <c r="W46" s="37"/>
      <c r="X46" s="37"/>
      <c r="Y46" s="37">
        <v>0</v>
      </c>
      <c r="Z46" s="88">
        <f t="shared" si="0"/>
        <v>0</v>
      </c>
      <c r="AA46" s="88"/>
      <c r="AB46" s="37">
        <v>26955.55</v>
      </c>
      <c r="AC46" s="88">
        <f t="shared" si="1"/>
        <v>4.492591666666666</v>
      </c>
      <c r="AD46" s="37">
        <v>50219.95</v>
      </c>
      <c r="AE46" s="88">
        <f t="shared" si="2"/>
        <v>8.369991666666667</v>
      </c>
      <c r="AF46" s="88">
        <v>10826</v>
      </c>
      <c r="AG46" s="37">
        <v>600000</v>
      </c>
      <c r="AH46" s="88">
        <v>65209.55</v>
      </c>
      <c r="AI46" s="39">
        <f t="shared" si="16"/>
        <v>10.868258333333333</v>
      </c>
      <c r="AJ46" s="88">
        <v>65209.55</v>
      </c>
      <c r="AK46" s="39">
        <f t="shared" si="3"/>
        <v>10.868258333333333</v>
      </c>
    </row>
    <row r="47" spans="1:37" s="36" customFormat="1" ht="12.75" customHeight="1" hidden="1">
      <c r="A47" s="35" t="s">
        <v>93</v>
      </c>
      <c r="C47" s="36" t="s">
        <v>94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9" t="e">
        <f t="shared" si="14"/>
        <v>#DIV/0!</v>
      </c>
      <c r="P47" s="37"/>
      <c r="Q47" s="37"/>
      <c r="R47" s="37"/>
      <c r="S47" s="37" t="e">
        <f t="shared" si="15"/>
        <v>#DIV/0!</v>
      </c>
      <c r="T47" s="37"/>
      <c r="U47" s="37"/>
      <c r="V47" s="37">
        <f t="shared" si="13"/>
        <v>0</v>
      </c>
      <c r="W47" s="37"/>
      <c r="X47" s="37"/>
      <c r="Y47" s="37"/>
      <c r="Z47" s="88"/>
      <c r="AA47" s="88"/>
      <c r="AB47" s="37"/>
      <c r="AC47" s="88" t="e">
        <f t="shared" si="1"/>
        <v>#DIV/0!</v>
      </c>
      <c r="AD47" s="37"/>
      <c r="AE47" s="88" t="e">
        <f t="shared" si="2"/>
        <v>#DIV/0!</v>
      </c>
      <c r="AF47" s="88"/>
      <c r="AG47" s="37"/>
      <c r="AH47" s="88"/>
      <c r="AI47" s="39" t="e">
        <f t="shared" si="16"/>
        <v>#DIV/0!</v>
      </c>
      <c r="AJ47" s="88"/>
      <c r="AK47" s="39" t="e">
        <f t="shared" si="3"/>
        <v>#DIV/0!</v>
      </c>
    </row>
    <row r="48" spans="1:37" s="31" customFormat="1" ht="12.75">
      <c r="A48" s="30">
        <v>7032</v>
      </c>
      <c r="C48" s="31" t="s">
        <v>95</v>
      </c>
      <c r="D48" s="32">
        <v>35000000</v>
      </c>
      <c r="E48" s="32">
        <v>38053113</v>
      </c>
      <c r="F48" s="34">
        <f>E48/D48*100</f>
        <v>108.72318000000001</v>
      </c>
      <c r="G48" s="32">
        <v>25000000</v>
      </c>
      <c r="H48" s="32">
        <f>SUM(H49:H50)</f>
        <v>20429222</v>
      </c>
      <c r="I48" s="32">
        <f>SUM(I49:I50)</f>
        <v>0</v>
      </c>
      <c r="J48" s="32">
        <f>SUM(J49:J50)</f>
        <v>0</v>
      </c>
      <c r="K48" s="32">
        <f>SUM(K49:K50)</f>
        <v>19000000</v>
      </c>
      <c r="L48" s="32">
        <f>SUM(L49:L50)</f>
        <v>14000000</v>
      </c>
      <c r="M48" s="33">
        <f>L48-K48</f>
        <v>-5000000</v>
      </c>
      <c r="N48" s="32">
        <f>SUM(N49:N50)</f>
        <v>18025517</v>
      </c>
      <c r="O48" s="34">
        <f t="shared" si="14"/>
        <v>128.75369285714285</v>
      </c>
      <c r="P48" s="32">
        <f>SUM(P49:P50)</f>
        <v>15000000</v>
      </c>
      <c r="Q48" s="22">
        <f>P48/H48*100</f>
        <v>73.42423514708489</v>
      </c>
      <c r="R48" s="22">
        <f>P48/L48*100</f>
        <v>107.14285714285714</v>
      </c>
      <c r="S48" s="22">
        <f t="shared" si="15"/>
        <v>83.21536630544355</v>
      </c>
      <c r="T48" s="32">
        <f>SUM(T49:T50)</f>
        <v>16000000</v>
      </c>
      <c r="U48" s="32">
        <f>SUM(U49:U50)</f>
        <v>16000000</v>
      </c>
      <c r="V48" s="33">
        <f t="shared" si="13"/>
        <v>1000000</v>
      </c>
      <c r="W48" s="33"/>
      <c r="X48" s="33"/>
      <c r="Y48" s="32">
        <f>SUM(Y49:Y50)</f>
        <v>579371.89</v>
      </c>
      <c r="Z48" s="87">
        <f t="shared" si="0"/>
        <v>3.8624792666666665</v>
      </c>
      <c r="AA48" s="87">
        <f>SUM(AA49:AA50)</f>
        <v>0</v>
      </c>
      <c r="AB48" s="32">
        <f>SUM(AB49:AB50)</f>
        <v>1127054.29</v>
      </c>
      <c r="AC48" s="87">
        <f t="shared" si="1"/>
        <v>7.513695266666668</v>
      </c>
      <c r="AD48" s="32">
        <f>SUM(AD49:AD50)</f>
        <v>5359037.7700000005</v>
      </c>
      <c r="AE48" s="87">
        <f t="shared" si="2"/>
        <v>35.72691846666667</v>
      </c>
      <c r="AF48" s="87">
        <f>SUM(AF49:AF50)</f>
        <v>7049154</v>
      </c>
      <c r="AG48" s="32">
        <f>SUM(AG49:AG50)</f>
        <v>16000000</v>
      </c>
      <c r="AH48" s="87">
        <f>SUM(AH49:AH50)</f>
        <v>6196182.83</v>
      </c>
      <c r="AI48" s="22">
        <f t="shared" si="16"/>
        <v>38.7261426875</v>
      </c>
      <c r="AJ48" s="87">
        <f>SUM(AJ49:AJ50)</f>
        <v>8136529.79</v>
      </c>
      <c r="AK48" s="22">
        <f t="shared" si="3"/>
        <v>50.853311187500005</v>
      </c>
    </row>
    <row r="49" spans="1:37" s="36" customFormat="1" ht="12.75" customHeight="1">
      <c r="A49" s="35" t="s">
        <v>96</v>
      </c>
      <c r="C49" s="36" t="s">
        <v>97</v>
      </c>
      <c r="D49" s="37"/>
      <c r="E49" s="37"/>
      <c r="F49" s="39"/>
      <c r="G49" s="37"/>
      <c r="H49" s="37">
        <v>20429222</v>
      </c>
      <c r="I49" s="39"/>
      <c r="J49" s="37"/>
      <c r="K49" s="37">
        <v>19000000</v>
      </c>
      <c r="L49" s="37">
        <v>14000000</v>
      </c>
      <c r="M49" s="37">
        <f>L49-K49</f>
        <v>-5000000</v>
      </c>
      <c r="N49" s="37">
        <v>17308492</v>
      </c>
      <c r="O49" s="39">
        <f t="shared" si="14"/>
        <v>123.63208571428572</v>
      </c>
      <c r="P49" s="37">
        <v>15000000</v>
      </c>
      <c r="Q49" s="39">
        <f>P49/H49*100</f>
        <v>73.42423514708489</v>
      </c>
      <c r="R49" s="39">
        <f>P49/L49*100</f>
        <v>107.14285714285714</v>
      </c>
      <c r="S49" s="39">
        <f t="shared" si="15"/>
        <v>86.66266246649332</v>
      </c>
      <c r="T49" s="37">
        <v>15000000</v>
      </c>
      <c r="U49" s="37">
        <v>15000000</v>
      </c>
      <c r="V49" s="37">
        <f t="shared" si="13"/>
        <v>0</v>
      </c>
      <c r="W49" s="37"/>
      <c r="X49" s="37"/>
      <c r="Y49" s="37">
        <v>579371.89</v>
      </c>
      <c r="Z49" s="88">
        <f t="shared" si="0"/>
        <v>3.8624792666666665</v>
      </c>
      <c r="AA49" s="88"/>
      <c r="AB49" s="37">
        <v>1127054.29</v>
      </c>
      <c r="AC49" s="88">
        <f t="shared" si="1"/>
        <v>7.513695266666668</v>
      </c>
      <c r="AD49" s="37">
        <v>5324662.32</v>
      </c>
      <c r="AE49" s="88">
        <f t="shared" si="2"/>
        <v>35.497748800000004</v>
      </c>
      <c r="AF49" s="88">
        <v>6599791</v>
      </c>
      <c r="AG49" s="37">
        <v>15000000</v>
      </c>
      <c r="AH49" s="88">
        <v>5893713.2</v>
      </c>
      <c r="AI49" s="39">
        <f t="shared" si="16"/>
        <v>39.29142133333334</v>
      </c>
      <c r="AJ49" s="88">
        <v>7769220.08</v>
      </c>
      <c r="AK49" s="39">
        <f t="shared" si="3"/>
        <v>51.79480053333333</v>
      </c>
    </row>
    <row r="50" spans="1:37" s="36" customFormat="1" ht="12.75" customHeight="1">
      <c r="A50" s="35" t="s">
        <v>98</v>
      </c>
      <c r="C50" s="36" t="s">
        <v>99</v>
      </c>
      <c r="D50" s="37"/>
      <c r="E50" s="37"/>
      <c r="F50" s="39"/>
      <c r="G50" s="37"/>
      <c r="H50" s="37"/>
      <c r="I50" s="39"/>
      <c r="J50" s="37"/>
      <c r="K50" s="37"/>
      <c r="L50" s="37"/>
      <c r="M50" s="37"/>
      <c r="N50" s="37">
        <v>717025</v>
      </c>
      <c r="O50" s="39"/>
      <c r="P50" s="37"/>
      <c r="Q50" s="37"/>
      <c r="R50" s="37"/>
      <c r="S50" s="37">
        <f t="shared" si="15"/>
        <v>0</v>
      </c>
      <c r="T50" s="37">
        <v>1000000</v>
      </c>
      <c r="U50" s="37">
        <v>1000000</v>
      </c>
      <c r="V50" s="37">
        <f t="shared" si="13"/>
        <v>1000000</v>
      </c>
      <c r="W50" s="37"/>
      <c r="X50" s="37"/>
      <c r="Y50" s="37"/>
      <c r="Z50" s="88"/>
      <c r="AA50" s="88"/>
      <c r="AB50" s="37">
        <v>0</v>
      </c>
      <c r="AC50" s="88" t="e">
        <f t="shared" si="1"/>
        <v>#DIV/0!</v>
      </c>
      <c r="AD50" s="37">
        <v>34375.45</v>
      </c>
      <c r="AE50" s="88"/>
      <c r="AF50" s="88">
        <v>449363</v>
      </c>
      <c r="AG50" s="37">
        <v>1000000</v>
      </c>
      <c r="AH50" s="88">
        <v>302469.63</v>
      </c>
      <c r="AI50" s="39">
        <f t="shared" si="16"/>
        <v>30.246962999999997</v>
      </c>
      <c r="AJ50" s="88">
        <v>367309.71</v>
      </c>
      <c r="AK50" s="39">
        <f t="shared" si="3"/>
        <v>36.730971000000004</v>
      </c>
    </row>
    <row r="51" spans="1:37" s="31" customFormat="1" ht="12.75">
      <c r="A51" s="30">
        <v>7033</v>
      </c>
      <c r="C51" s="31" t="s">
        <v>100</v>
      </c>
      <c r="D51" s="32">
        <v>308000000</v>
      </c>
      <c r="E51" s="32">
        <v>394824042</v>
      </c>
      <c r="F51" s="34">
        <f>E51/D51*100</f>
        <v>128.189624025974</v>
      </c>
      <c r="G51" s="32">
        <v>560000000</v>
      </c>
      <c r="H51" s="32">
        <f>SUM(H52:H56)</f>
        <v>528437503</v>
      </c>
      <c r="I51" s="32">
        <f>SUM(I52:I56)</f>
        <v>0</v>
      </c>
      <c r="J51" s="32">
        <f>SUM(J52:J56)</f>
        <v>0</v>
      </c>
      <c r="K51" s="32">
        <f>SUM(K52:K56)</f>
        <v>490000000</v>
      </c>
      <c r="L51" s="32">
        <f>SUM(L52:L56)</f>
        <v>560000000</v>
      </c>
      <c r="M51" s="33">
        <f>L51-K51</f>
        <v>70000000</v>
      </c>
      <c r="N51" s="32">
        <f>SUM(N52:N56)</f>
        <v>544701779</v>
      </c>
      <c r="O51" s="34">
        <f>N51/L51*100</f>
        <v>97.26817482142857</v>
      </c>
      <c r="P51" s="32">
        <f>SUM(P52:P56)</f>
        <v>595000000</v>
      </c>
      <c r="Q51" s="22">
        <f>P51/H51*100</f>
        <v>112.59609634481222</v>
      </c>
      <c r="R51" s="22">
        <f>P51/L51*100</f>
        <v>106.25</v>
      </c>
      <c r="S51" s="22">
        <f t="shared" si="15"/>
        <v>109.23408421620007</v>
      </c>
      <c r="T51" s="32">
        <f>SUM(T52:T56)</f>
        <v>595000000</v>
      </c>
      <c r="U51" s="32">
        <f>SUM(U52:U56)</f>
        <v>595000000</v>
      </c>
      <c r="V51" s="33">
        <f t="shared" si="13"/>
        <v>0</v>
      </c>
      <c r="W51" s="33"/>
      <c r="X51" s="33"/>
      <c r="Y51" s="32">
        <f>SUM(Y52:Y56)</f>
        <v>15896878.84</v>
      </c>
      <c r="Z51" s="87">
        <f t="shared" si="0"/>
        <v>2.671744342857143</v>
      </c>
      <c r="AA51" s="87">
        <f>SUM(AA52:AA56)</f>
        <v>0</v>
      </c>
      <c r="AB51" s="32">
        <f>SUM(AB52:AB56)</f>
        <v>38298398.44</v>
      </c>
      <c r="AC51" s="87">
        <f t="shared" si="1"/>
        <v>6.436705620168066</v>
      </c>
      <c r="AD51" s="32">
        <f>SUM(AD52:AD56)</f>
        <v>147107706.19</v>
      </c>
      <c r="AE51" s="87">
        <f t="shared" si="2"/>
        <v>24.723984233613443</v>
      </c>
      <c r="AF51" s="87">
        <f>SUM(AF52:AF56)</f>
        <v>287028157</v>
      </c>
      <c r="AG51" s="32">
        <f>SUM(AG52:AG56)</f>
        <v>595000000</v>
      </c>
      <c r="AH51" s="87">
        <f>SUM(AH52:AH56)</f>
        <v>183333691.65</v>
      </c>
      <c r="AI51" s="22">
        <f t="shared" si="16"/>
        <v>30.812385151260507</v>
      </c>
      <c r="AJ51" s="87">
        <f>SUM(AJ52:AJ56)</f>
        <v>225576873.04999998</v>
      </c>
      <c r="AK51" s="22">
        <f t="shared" si="3"/>
        <v>37.91207950420168</v>
      </c>
    </row>
    <row r="52" spans="1:37" s="36" customFormat="1" ht="12.75" customHeight="1">
      <c r="A52" s="35" t="s">
        <v>101</v>
      </c>
      <c r="C52" s="36" t="s">
        <v>102</v>
      </c>
      <c r="D52" s="37"/>
      <c r="E52" s="37"/>
      <c r="F52" s="39"/>
      <c r="G52" s="37"/>
      <c r="H52" s="37">
        <v>311594588</v>
      </c>
      <c r="I52" s="39"/>
      <c r="J52" s="37"/>
      <c r="K52" s="37">
        <v>282000000</v>
      </c>
      <c r="L52" s="37">
        <v>320000000</v>
      </c>
      <c r="M52" s="37">
        <f>L52-K52</f>
        <v>38000000</v>
      </c>
      <c r="N52" s="37">
        <v>331921944</v>
      </c>
      <c r="O52" s="39">
        <f>N52/L52*100</f>
        <v>103.7256075</v>
      </c>
      <c r="P52" s="37">
        <v>340000000</v>
      </c>
      <c r="Q52" s="39">
        <f>P52/H52*100</f>
        <v>109.11614421236354</v>
      </c>
      <c r="R52" s="39">
        <f>P52/L52*100</f>
        <v>106.25</v>
      </c>
      <c r="S52" s="39">
        <f t="shared" si="15"/>
        <v>102.43372158606061</v>
      </c>
      <c r="T52" s="37">
        <v>340000000</v>
      </c>
      <c r="U52" s="37">
        <v>340000000</v>
      </c>
      <c r="V52" s="37">
        <f t="shared" si="13"/>
        <v>0</v>
      </c>
      <c r="W52" s="37"/>
      <c r="X52" s="37"/>
      <c r="Y52" s="37">
        <v>5658979.67</v>
      </c>
      <c r="Z52" s="88">
        <f t="shared" si="0"/>
        <v>1.6644057852941176</v>
      </c>
      <c r="AA52" s="88"/>
      <c r="AB52" s="37">
        <v>20001124.45</v>
      </c>
      <c r="AC52" s="88">
        <f t="shared" si="1"/>
        <v>5.882683661764706</v>
      </c>
      <c r="AD52" s="37">
        <v>76231935.57</v>
      </c>
      <c r="AE52" s="88">
        <f t="shared" si="2"/>
        <v>22.421157520588235</v>
      </c>
      <c r="AF52" s="88">
        <v>164983972</v>
      </c>
      <c r="AG52" s="37">
        <v>340000000</v>
      </c>
      <c r="AH52" s="88">
        <v>90728905.09</v>
      </c>
      <c r="AI52" s="39">
        <f t="shared" si="16"/>
        <v>26.684972085294117</v>
      </c>
      <c r="AJ52" s="88">
        <v>106535757.31</v>
      </c>
      <c r="AK52" s="39">
        <f t="shared" si="3"/>
        <v>31.334046267647057</v>
      </c>
    </row>
    <row r="53" spans="1:37" s="36" customFormat="1" ht="12.75" customHeight="1">
      <c r="A53" s="35" t="s">
        <v>103</v>
      </c>
      <c r="C53" s="36" t="s">
        <v>104</v>
      </c>
      <c r="D53" s="37"/>
      <c r="E53" s="37"/>
      <c r="F53" s="39"/>
      <c r="G53" s="37"/>
      <c r="H53" s="37">
        <v>202233802</v>
      </c>
      <c r="I53" s="39"/>
      <c r="J53" s="37"/>
      <c r="K53" s="37">
        <v>176000000</v>
      </c>
      <c r="L53" s="37">
        <v>206000000</v>
      </c>
      <c r="M53" s="37">
        <f>L53-K53</f>
        <v>30000000</v>
      </c>
      <c r="N53" s="37">
        <v>194226585</v>
      </c>
      <c r="O53" s="39">
        <f>N53/L53*100</f>
        <v>94.28474999999999</v>
      </c>
      <c r="P53" s="37">
        <v>220000000</v>
      </c>
      <c r="Q53" s="39">
        <f>P53/H53*100</f>
        <v>108.78497947637852</v>
      </c>
      <c r="R53" s="39">
        <f>P53/L53*100</f>
        <v>106.79611650485437</v>
      </c>
      <c r="S53" s="39">
        <f t="shared" si="15"/>
        <v>113.26976685503686</v>
      </c>
      <c r="T53" s="37">
        <v>220000000</v>
      </c>
      <c r="U53" s="37">
        <v>220000000</v>
      </c>
      <c r="V53" s="37">
        <f t="shared" si="13"/>
        <v>0</v>
      </c>
      <c r="W53" s="37"/>
      <c r="X53" s="37"/>
      <c r="Y53" s="37">
        <v>10237899.17</v>
      </c>
      <c r="Z53" s="88">
        <f t="shared" si="0"/>
        <v>4.653590531818182</v>
      </c>
      <c r="AA53" s="88"/>
      <c r="AB53" s="37">
        <v>18297273.99</v>
      </c>
      <c r="AC53" s="88">
        <f t="shared" si="1"/>
        <v>8.316942722727273</v>
      </c>
      <c r="AD53" s="37">
        <v>69959057.44</v>
      </c>
      <c r="AE53" s="88">
        <f t="shared" si="2"/>
        <v>31.799571563636363</v>
      </c>
      <c r="AF53" s="88">
        <v>103407413</v>
      </c>
      <c r="AG53" s="37">
        <v>220000000</v>
      </c>
      <c r="AH53" s="88">
        <v>88249686.13</v>
      </c>
      <c r="AI53" s="39">
        <f t="shared" si="16"/>
        <v>40.113493695454544</v>
      </c>
      <c r="AJ53" s="88">
        <v>107095754.52</v>
      </c>
      <c r="AK53" s="39">
        <f t="shared" si="3"/>
        <v>48.67988841818182</v>
      </c>
    </row>
    <row r="54" spans="1:37" s="36" customFormat="1" ht="12.75" customHeight="1">
      <c r="A54" s="35" t="s">
        <v>105</v>
      </c>
      <c r="C54" s="36" t="s">
        <v>106</v>
      </c>
      <c r="D54" s="37"/>
      <c r="E54" s="37"/>
      <c r="F54" s="39"/>
      <c r="G54" s="37"/>
      <c r="H54" s="37">
        <v>2465188</v>
      </c>
      <c r="I54" s="39"/>
      <c r="J54" s="37"/>
      <c r="K54" s="37">
        <v>10000000</v>
      </c>
      <c r="L54" s="37">
        <v>12000000</v>
      </c>
      <c r="M54" s="37">
        <f>L54-K54</f>
        <v>2000000</v>
      </c>
      <c r="N54" s="37">
        <v>7878647</v>
      </c>
      <c r="O54" s="39">
        <f>N54/L54*100</f>
        <v>65.65539166666666</v>
      </c>
      <c r="P54" s="37">
        <v>13000000</v>
      </c>
      <c r="Q54" s="39">
        <f>P54/H54*100</f>
        <v>527.3431478653961</v>
      </c>
      <c r="R54" s="39">
        <f>P54/L54*100</f>
        <v>108.33333333333333</v>
      </c>
      <c r="S54" s="39">
        <f t="shared" si="15"/>
        <v>165.00295037967814</v>
      </c>
      <c r="T54" s="37">
        <v>13000000</v>
      </c>
      <c r="U54" s="37">
        <v>13000000</v>
      </c>
      <c r="V54" s="37">
        <f t="shared" si="13"/>
        <v>0</v>
      </c>
      <c r="W54" s="37"/>
      <c r="X54" s="37"/>
      <c r="Y54" s="37">
        <v>0</v>
      </c>
      <c r="Z54" s="88">
        <f t="shared" si="0"/>
        <v>0</v>
      </c>
      <c r="AA54" s="88"/>
      <c r="AB54" s="37">
        <v>0</v>
      </c>
      <c r="AC54" s="88">
        <f t="shared" si="1"/>
        <v>0</v>
      </c>
      <c r="AD54" s="37">
        <v>0</v>
      </c>
      <c r="AE54" s="88">
        <f t="shared" si="2"/>
        <v>0</v>
      </c>
      <c r="AF54" s="88">
        <v>5968809</v>
      </c>
      <c r="AG54" s="37">
        <v>13000000</v>
      </c>
      <c r="AH54" s="88">
        <v>0</v>
      </c>
      <c r="AI54" s="39">
        <f t="shared" si="16"/>
        <v>0</v>
      </c>
      <c r="AJ54" s="88">
        <v>4669517.37</v>
      </c>
      <c r="AK54" s="39">
        <f t="shared" si="3"/>
        <v>35.919364384615385</v>
      </c>
    </row>
    <row r="55" spans="1:37" s="36" customFormat="1" ht="12.75" customHeight="1">
      <c r="A55" s="35"/>
      <c r="C55" s="36" t="s">
        <v>107</v>
      </c>
      <c r="D55" s="37"/>
      <c r="E55" s="37"/>
      <c r="F55" s="39"/>
      <c r="G55" s="37"/>
      <c r="H55" s="37"/>
      <c r="I55" s="39"/>
      <c r="J55" s="37"/>
      <c r="K55" s="37"/>
      <c r="L55" s="37"/>
      <c r="M55" s="37"/>
      <c r="N55" s="37"/>
      <c r="O55" s="39"/>
      <c r="P55" s="37"/>
      <c r="Q55" s="39"/>
      <c r="R55" s="39"/>
      <c r="S55" s="39"/>
      <c r="T55" s="37"/>
      <c r="U55" s="37"/>
      <c r="V55" s="37"/>
      <c r="W55" s="37"/>
      <c r="X55" s="37"/>
      <c r="Y55" s="37"/>
      <c r="Z55" s="88"/>
      <c r="AA55" s="88"/>
      <c r="AB55" s="37"/>
      <c r="AC55" s="88"/>
      <c r="AD55" s="37"/>
      <c r="AE55" s="88"/>
      <c r="AF55" s="88"/>
      <c r="AG55" s="37"/>
      <c r="AH55" s="88"/>
      <c r="AI55" s="39"/>
      <c r="AJ55" s="88"/>
      <c r="AK55" s="39"/>
    </row>
    <row r="56" spans="1:37" s="36" customFormat="1" ht="12.75" customHeight="1">
      <c r="A56" s="35" t="s">
        <v>108</v>
      </c>
      <c r="C56" s="36" t="s">
        <v>109</v>
      </c>
      <c r="D56" s="37"/>
      <c r="E56" s="37"/>
      <c r="F56" s="39"/>
      <c r="G56" s="37"/>
      <c r="H56" s="37">
        <v>12143925</v>
      </c>
      <c r="I56" s="39"/>
      <c r="J56" s="37"/>
      <c r="K56" s="37">
        <v>22000000</v>
      </c>
      <c r="L56" s="37">
        <v>22000000</v>
      </c>
      <c r="M56" s="37">
        <f>L56-K56</f>
        <v>0</v>
      </c>
      <c r="N56" s="37">
        <v>10674603</v>
      </c>
      <c r="O56" s="39">
        <f>N56/L56*100</f>
        <v>48.520922727272726</v>
      </c>
      <c r="P56" s="37">
        <v>22000000</v>
      </c>
      <c r="Q56" s="39">
        <f>P56/H56*100</f>
        <v>181.1605391172953</v>
      </c>
      <c r="R56" s="39">
        <f>P56/L56*100</f>
        <v>100</v>
      </c>
      <c r="S56" s="39">
        <f>P56/N56*100</f>
        <v>206.09665764619066</v>
      </c>
      <c r="T56" s="37">
        <v>22000000</v>
      </c>
      <c r="U56" s="37">
        <v>22000000</v>
      </c>
      <c r="V56" s="37">
        <f>U56-P56</f>
        <v>0</v>
      </c>
      <c r="W56" s="37"/>
      <c r="X56" s="37"/>
      <c r="Y56" s="37">
        <v>0</v>
      </c>
      <c r="Z56" s="88">
        <f t="shared" si="0"/>
        <v>0</v>
      </c>
      <c r="AA56" s="88"/>
      <c r="AB56" s="37">
        <v>0</v>
      </c>
      <c r="AC56" s="88">
        <f t="shared" si="1"/>
        <v>0</v>
      </c>
      <c r="AD56" s="37">
        <v>916713.18</v>
      </c>
      <c r="AE56" s="88">
        <f t="shared" si="2"/>
        <v>4.166878090909091</v>
      </c>
      <c r="AF56" s="88">
        <v>12667963</v>
      </c>
      <c r="AG56" s="37">
        <v>22000000</v>
      </c>
      <c r="AH56" s="88">
        <v>4355100.43</v>
      </c>
      <c r="AI56" s="39">
        <f>+AH56/AG56*100</f>
        <v>19.795911045454545</v>
      </c>
      <c r="AJ56" s="88">
        <v>7275843.85</v>
      </c>
      <c r="AK56" s="39">
        <f t="shared" si="3"/>
        <v>33.0720175</v>
      </c>
    </row>
    <row r="57" spans="1:37" ht="12.75" customHeight="1">
      <c r="A57" s="28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6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89"/>
      <c r="AA57" s="89"/>
      <c r="AB57" s="25"/>
      <c r="AC57" s="89"/>
      <c r="AD57" s="25"/>
      <c r="AE57" s="89"/>
      <c r="AF57" s="89"/>
      <c r="AH57" s="89"/>
      <c r="AI57" s="26"/>
      <c r="AJ57" s="89"/>
      <c r="AK57" s="26"/>
    </row>
    <row r="58" spans="1:37" s="31" customFormat="1" ht="12.75">
      <c r="A58" s="30">
        <v>704</v>
      </c>
      <c r="C58" s="31" t="s">
        <v>110</v>
      </c>
      <c r="D58" s="32">
        <f>D59+D63+D65</f>
        <v>510000000</v>
      </c>
      <c r="E58" s="32">
        <f>E59+E63+E65</f>
        <v>487870102</v>
      </c>
      <c r="F58" s="22">
        <f>E58/D58*100</f>
        <v>95.66080431372549</v>
      </c>
      <c r="G58" s="32">
        <f>G59+G63+G65</f>
        <v>507948200</v>
      </c>
      <c r="H58" s="32">
        <f>H59+H63+H65</f>
        <v>544651324.97</v>
      </c>
      <c r="I58" s="22">
        <f>H58/G58*100</f>
        <v>107.22576140047353</v>
      </c>
      <c r="J58" s="32">
        <f>J59+J63+J65</f>
        <v>173590000</v>
      </c>
      <c r="K58" s="32">
        <f>K59+K63+K65</f>
        <v>712591629</v>
      </c>
      <c r="L58" s="32">
        <f>L59+L63+L65</f>
        <v>705885854</v>
      </c>
      <c r="M58" s="33">
        <f>L58-K58</f>
        <v>-6705775</v>
      </c>
      <c r="N58" s="32">
        <f>N59+N63+N65</f>
        <v>608628224.3399999</v>
      </c>
      <c r="O58" s="34">
        <f aca="true" t="shared" si="17" ref="O58:O80">N58/L58*100</f>
        <v>86.22190413522578</v>
      </c>
      <c r="P58" s="32">
        <f>P59+P63+P65</f>
        <v>727600000</v>
      </c>
      <c r="Q58" s="22">
        <f>P58/H58*100</f>
        <v>133.59005415805737</v>
      </c>
      <c r="R58" s="22">
        <f>P58/L58*100</f>
        <v>103.07615542611511</v>
      </c>
      <c r="S58" s="22">
        <f aca="true" t="shared" si="18" ref="S58:S84">P58/N58*100</f>
        <v>119.54752850790213</v>
      </c>
      <c r="T58" s="32">
        <f>T59+T63+T65</f>
        <v>727600000</v>
      </c>
      <c r="U58" s="32">
        <f>U59+U63+U65</f>
        <v>915600000</v>
      </c>
      <c r="V58" s="33">
        <f>U58-P58</f>
        <v>188000000</v>
      </c>
      <c r="W58" s="33"/>
      <c r="X58" s="33"/>
      <c r="Y58" s="32">
        <f>Y59+Y63+Y65</f>
        <v>55309245.85999999</v>
      </c>
      <c r="Z58" s="87">
        <f t="shared" si="0"/>
        <v>7.60160058548653</v>
      </c>
      <c r="AA58" s="87">
        <f>AA59+AA63+AA65</f>
        <v>0</v>
      </c>
      <c r="AB58" s="32">
        <f>AB59+AB63+AB65</f>
        <v>78463765.77999999</v>
      </c>
      <c r="AC58" s="87">
        <f t="shared" si="1"/>
        <v>10.783915032985155</v>
      </c>
      <c r="AD58" s="32">
        <f>AD59+AD63+AD65</f>
        <v>241831635.45999998</v>
      </c>
      <c r="AE58" s="87">
        <f t="shared" si="2"/>
        <v>33.23689327377679</v>
      </c>
      <c r="AF58" s="87">
        <f>AF59+AF63+AF65</f>
        <v>176469476.002859</v>
      </c>
      <c r="AG58" s="32">
        <f>AG59+AG63+AG65</f>
        <v>1166476300</v>
      </c>
      <c r="AH58" s="87">
        <f>AH59+AH63+AH65</f>
        <v>296384967.02</v>
      </c>
      <c r="AI58" s="22">
        <f aca="true" t="shared" si="19" ref="AI58:AI80">+AH58/AG58*100</f>
        <v>25.40857169751327</v>
      </c>
      <c r="AJ58" s="87">
        <f>AJ59+AJ63+AJ65</f>
        <v>316183367.66</v>
      </c>
      <c r="AK58" s="22">
        <f t="shared" si="3"/>
        <v>27.105854414701785</v>
      </c>
    </row>
    <row r="59" spans="1:37" s="31" customFormat="1" ht="12.75">
      <c r="A59" s="30">
        <v>7044</v>
      </c>
      <c r="C59" s="31" t="s">
        <v>111</v>
      </c>
      <c r="D59" s="32">
        <f>SUM(D60:D61)</f>
        <v>119000000</v>
      </c>
      <c r="E59" s="32">
        <f>SUM(E60:E61)</f>
        <v>103225073</v>
      </c>
      <c r="F59" s="34">
        <f>E59/D59*100</f>
        <v>86.74375882352942</v>
      </c>
      <c r="G59" s="32">
        <f>SUM(G60:G61)</f>
        <v>100000000</v>
      </c>
      <c r="H59" s="32">
        <f>SUM(H60:H62)</f>
        <v>99530124</v>
      </c>
      <c r="I59" s="32">
        <f>SUM(I60:I62)</f>
        <v>212.93217750000002</v>
      </c>
      <c r="J59" s="32">
        <f>SUM(J60:J62)</f>
        <v>105000000</v>
      </c>
      <c r="K59" s="32">
        <f>SUM(K60:K62)</f>
        <v>105000000</v>
      </c>
      <c r="L59" s="32">
        <f>SUM(L60:L62)</f>
        <v>91000000</v>
      </c>
      <c r="M59" s="33">
        <f>L59-K59</f>
        <v>-14000000</v>
      </c>
      <c r="N59" s="32">
        <f>SUM(N60:N62)</f>
        <v>98367246</v>
      </c>
      <c r="O59" s="34">
        <f t="shared" si="17"/>
        <v>108.09587472527473</v>
      </c>
      <c r="P59" s="32">
        <f>SUM(P60:P62)</f>
        <v>97000000</v>
      </c>
      <c r="Q59" s="22">
        <f>P59/H59*100</f>
        <v>97.45793142988549</v>
      </c>
      <c r="R59" s="22">
        <f>P59/L59*100</f>
        <v>106.5934065934066</v>
      </c>
      <c r="S59" s="22">
        <f t="shared" si="18"/>
        <v>98.6100596940571</v>
      </c>
      <c r="T59" s="32">
        <f>SUM(T60:T62)</f>
        <v>97000000</v>
      </c>
      <c r="U59" s="32">
        <f>SUM(U60:U62)</f>
        <v>97000000</v>
      </c>
      <c r="V59" s="33">
        <f>U59-P59</f>
        <v>0</v>
      </c>
      <c r="W59" s="33"/>
      <c r="X59" s="33"/>
      <c r="Y59" s="32">
        <f>SUM(Y60:Y62)</f>
        <v>4657209.8</v>
      </c>
      <c r="Z59" s="87">
        <f t="shared" si="0"/>
        <v>4.801247216494845</v>
      </c>
      <c r="AA59" s="87">
        <f>SUM(AA60:AA62)</f>
        <v>0</v>
      </c>
      <c r="AB59" s="32">
        <f>SUM(AB60:AB62)</f>
        <v>15028259.17</v>
      </c>
      <c r="AC59" s="87">
        <f t="shared" si="1"/>
        <v>15.493050690721649</v>
      </c>
      <c r="AD59" s="32">
        <f>SUM(AD60:AD62)</f>
        <v>29828485.35</v>
      </c>
      <c r="AE59" s="87">
        <f t="shared" si="2"/>
        <v>30.751015824742268</v>
      </c>
      <c r="AF59" s="87">
        <f>SUM(AF60:AF62)</f>
        <v>48456555</v>
      </c>
      <c r="AG59" s="32">
        <f>SUM(AG60:AG62)</f>
        <v>97000000</v>
      </c>
      <c r="AH59" s="87">
        <f>SUM(AH60:AH62)</f>
        <v>37692202.03</v>
      </c>
      <c r="AI59" s="22">
        <f t="shared" si="19"/>
        <v>38.857940237113404</v>
      </c>
      <c r="AJ59" s="87">
        <f>SUM(AJ60:AJ62)</f>
        <v>45464793.76</v>
      </c>
      <c r="AK59" s="22">
        <f t="shared" si="3"/>
        <v>46.87092140206185</v>
      </c>
    </row>
    <row r="60" spans="1:37" s="36" customFormat="1" ht="12.75" customHeight="1">
      <c r="A60" s="35" t="s">
        <v>112</v>
      </c>
      <c r="C60" s="36" t="s">
        <v>113</v>
      </c>
      <c r="D60" s="37">
        <v>21000000</v>
      </c>
      <c r="E60" s="37">
        <v>15864416</v>
      </c>
      <c r="F60" s="38">
        <f>E60/D60*100</f>
        <v>75.54483809523809</v>
      </c>
      <c r="G60" s="37">
        <v>20000000</v>
      </c>
      <c r="H60" s="37">
        <v>23605206</v>
      </c>
      <c r="I60" s="38">
        <f>H60/G60*100</f>
        <v>118.02603</v>
      </c>
      <c r="J60" s="37">
        <v>25000000</v>
      </c>
      <c r="K60" s="37">
        <v>25000000</v>
      </c>
      <c r="L60" s="37">
        <v>25000000</v>
      </c>
      <c r="M60" s="37">
        <f>L60-K60</f>
        <v>0</v>
      </c>
      <c r="N60" s="37">
        <v>32505867</v>
      </c>
      <c r="O60" s="39">
        <f t="shared" si="17"/>
        <v>130.023468</v>
      </c>
      <c r="P60" s="37">
        <v>27000000</v>
      </c>
      <c r="Q60" s="39">
        <f>P60/H60*100</f>
        <v>114.38154786702562</v>
      </c>
      <c r="R60" s="39">
        <f>P60/L60*100</f>
        <v>108</v>
      </c>
      <c r="S60" s="39">
        <f t="shared" si="18"/>
        <v>83.06192848201835</v>
      </c>
      <c r="T60" s="37">
        <v>27000000</v>
      </c>
      <c r="U60" s="37">
        <v>27000000</v>
      </c>
      <c r="V60" s="37">
        <f>U60-P60</f>
        <v>0</v>
      </c>
      <c r="W60" s="37"/>
      <c r="X60" s="37"/>
      <c r="Y60" s="37">
        <v>2166234.8</v>
      </c>
      <c r="Z60" s="88">
        <f t="shared" si="0"/>
        <v>8.023091851851852</v>
      </c>
      <c r="AA60" s="88"/>
      <c r="AB60" s="37">
        <v>3270857.17</v>
      </c>
      <c r="AC60" s="88">
        <f t="shared" si="1"/>
        <v>12.114285814814814</v>
      </c>
      <c r="AD60" s="37">
        <v>9601768.35</v>
      </c>
      <c r="AE60" s="88">
        <f t="shared" si="2"/>
        <v>35.562105</v>
      </c>
      <c r="AF60" s="88">
        <v>17568465</v>
      </c>
      <c r="AG60" s="37">
        <v>27000000</v>
      </c>
      <c r="AH60" s="88">
        <v>11786062.03</v>
      </c>
      <c r="AI60" s="39">
        <f t="shared" si="19"/>
        <v>43.65208159259259</v>
      </c>
      <c r="AJ60" s="88">
        <v>12783201.76</v>
      </c>
      <c r="AK60" s="39">
        <f t="shared" si="3"/>
        <v>47.345191703703705</v>
      </c>
    </row>
    <row r="61" spans="1:37" s="36" customFormat="1" ht="12.75" customHeight="1">
      <c r="A61" s="35" t="s">
        <v>114</v>
      </c>
      <c r="C61" s="36" t="s">
        <v>115</v>
      </c>
      <c r="D61" s="37">
        <v>98000000</v>
      </c>
      <c r="E61" s="37">
        <v>87360657</v>
      </c>
      <c r="F61" s="38">
        <f>E61/D61*100</f>
        <v>89.14352755102041</v>
      </c>
      <c r="G61" s="37">
        <v>80000000</v>
      </c>
      <c r="H61" s="37">
        <v>75924918</v>
      </c>
      <c r="I61" s="38">
        <f>H61/G61*100</f>
        <v>94.9061475</v>
      </c>
      <c r="J61" s="37">
        <v>80000000</v>
      </c>
      <c r="K61" s="37">
        <v>80000000</v>
      </c>
      <c r="L61" s="37">
        <v>66000000</v>
      </c>
      <c r="M61" s="37">
        <f>L61-K61</f>
        <v>-14000000</v>
      </c>
      <c r="N61" s="37">
        <v>65861379</v>
      </c>
      <c r="O61" s="39">
        <f t="shared" si="17"/>
        <v>99.78996818181818</v>
      </c>
      <c r="P61" s="37">
        <v>70000000</v>
      </c>
      <c r="Q61" s="39">
        <f>P61/H61*100</f>
        <v>92.19634586895438</v>
      </c>
      <c r="R61" s="39">
        <f>P61/L61*100</f>
        <v>106.06060606060606</v>
      </c>
      <c r="S61" s="39">
        <f t="shared" si="18"/>
        <v>106.28383593365089</v>
      </c>
      <c r="T61" s="37">
        <v>70000000</v>
      </c>
      <c r="U61" s="37">
        <v>70000000</v>
      </c>
      <c r="V61" s="37">
        <f>U61-P61</f>
        <v>0</v>
      </c>
      <c r="W61" s="37"/>
      <c r="X61" s="37"/>
      <c r="Y61" s="37">
        <v>2490975</v>
      </c>
      <c r="Z61" s="88">
        <f t="shared" si="0"/>
        <v>3.558535714285714</v>
      </c>
      <c r="AA61" s="88"/>
      <c r="AB61" s="37">
        <v>11757402</v>
      </c>
      <c r="AC61" s="88">
        <f t="shared" si="1"/>
        <v>16.796288571428573</v>
      </c>
      <c r="AD61" s="37">
        <v>20226717</v>
      </c>
      <c r="AE61" s="88">
        <f t="shared" si="2"/>
        <v>28.895310000000002</v>
      </c>
      <c r="AF61" s="88">
        <v>30888090</v>
      </c>
      <c r="AG61" s="37">
        <v>70000000</v>
      </c>
      <c r="AH61" s="88">
        <v>25906140</v>
      </c>
      <c r="AI61" s="39">
        <f t="shared" si="19"/>
        <v>37.00877142857143</v>
      </c>
      <c r="AJ61" s="88">
        <v>32681592</v>
      </c>
      <c r="AK61" s="39">
        <f t="shared" si="3"/>
        <v>46.687988571428576</v>
      </c>
    </row>
    <row r="62" spans="1:37" s="36" customFormat="1" ht="12.75" customHeight="1" hidden="1">
      <c r="A62" s="35" t="s">
        <v>116</v>
      </c>
      <c r="C62" s="36" t="s">
        <v>117</v>
      </c>
      <c r="D62" s="37"/>
      <c r="E62" s="37"/>
      <c r="F62" s="38"/>
      <c r="G62" s="37"/>
      <c r="H62" s="37"/>
      <c r="I62" s="38"/>
      <c r="J62" s="37"/>
      <c r="K62" s="37"/>
      <c r="L62" s="37"/>
      <c r="M62" s="37"/>
      <c r="N62" s="37"/>
      <c r="O62" s="39" t="e">
        <f t="shared" si="17"/>
        <v>#DIV/0!</v>
      </c>
      <c r="P62" s="37"/>
      <c r="Q62" s="37"/>
      <c r="R62" s="37"/>
      <c r="S62" s="37" t="e">
        <f t="shared" si="18"/>
        <v>#DIV/0!</v>
      </c>
      <c r="T62" s="37"/>
      <c r="U62" s="37"/>
      <c r="V62" s="37"/>
      <c r="W62" s="37"/>
      <c r="X62" s="37"/>
      <c r="Y62" s="37"/>
      <c r="Z62" s="88"/>
      <c r="AA62" s="88"/>
      <c r="AB62" s="37"/>
      <c r="AC62" s="88" t="e">
        <f t="shared" si="1"/>
        <v>#DIV/0!</v>
      </c>
      <c r="AD62" s="37"/>
      <c r="AE62" s="88" t="e">
        <f t="shared" si="2"/>
        <v>#DIV/0!</v>
      </c>
      <c r="AF62" s="88"/>
      <c r="AG62" s="37"/>
      <c r="AH62" s="88"/>
      <c r="AI62" s="39" t="e">
        <f t="shared" si="19"/>
        <v>#DIV/0!</v>
      </c>
      <c r="AJ62" s="88"/>
      <c r="AK62" s="39" t="e">
        <f t="shared" si="3"/>
        <v>#DIV/0!</v>
      </c>
    </row>
    <row r="63" spans="1:37" s="31" customFormat="1" ht="12.75">
      <c r="A63" s="30">
        <v>7046</v>
      </c>
      <c r="C63" s="31" t="s">
        <v>118</v>
      </c>
      <c r="D63" s="32">
        <f>D64</f>
        <v>2200000</v>
      </c>
      <c r="E63" s="32">
        <f>E64</f>
        <v>1629958</v>
      </c>
      <c r="F63" s="34">
        <f>E63/D63*100</f>
        <v>74.089</v>
      </c>
      <c r="G63" s="32">
        <f>G64</f>
        <v>1990000</v>
      </c>
      <c r="H63" s="32">
        <f>H64</f>
        <v>1692818</v>
      </c>
      <c r="I63" s="34">
        <f>H63/G63*100</f>
        <v>85.0662311557789</v>
      </c>
      <c r="J63" s="32">
        <f>J64</f>
        <v>1800000</v>
      </c>
      <c r="K63" s="32">
        <f>K64</f>
        <v>1800000</v>
      </c>
      <c r="L63" s="32">
        <f>L64</f>
        <v>500000</v>
      </c>
      <c r="M63" s="33">
        <f>L63-K63</f>
        <v>-1300000</v>
      </c>
      <c r="N63" s="32">
        <f>N64</f>
        <v>237363</v>
      </c>
      <c r="O63" s="34">
        <f t="shared" si="17"/>
        <v>47.4726</v>
      </c>
      <c r="P63" s="32">
        <f>P64</f>
        <v>1600000</v>
      </c>
      <c r="Q63" s="22">
        <f>P63/H63*100</f>
        <v>94.51695338778298</v>
      </c>
      <c r="R63" s="22">
        <f>P63/L63*100</f>
        <v>320</v>
      </c>
      <c r="S63" s="22">
        <f t="shared" si="18"/>
        <v>674.0730442402564</v>
      </c>
      <c r="T63" s="32">
        <f>T64</f>
        <v>1600000</v>
      </c>
      <c r="U63" s="32">
        <f>U64</f>
        <v>1600000</v>
      </c>
      <c r="V63" s="33">
        <f aca="true" t="shared" si="20" ref="V63:V84">U63-P63</f>
        <v>0</v>
      </c>
      <c r="W63" s="33"/>
      <c r="X63" s="33"/>
      <c r="Y63" s="32">
        <f>Y64</f>
        <v>0</v>
      </c>
      <c r="Z63" s="87">
        <f t="shared" si="0"/>
        <v>0</v>
      </c>
      <c r="AA63" s="87">
        <f>AA64</f>
        <v>0</v>
      </c>
      <c r="AB63" s="32">
        <f>AB64</f>
        <v>0</v>
      </c>
      <c r="AC63" s="87">
        <f t="shared" si="1"/>
        <v>0</v>
      </c>
      <c r="AD63" s="32">
        <f>AD64</f>
        <v>0</v>
      </c>
      <c r="AE63" s="87">
        <f t="shared" si="2"/>
        <v>0</v>
      </c>
      <c r="AF63" s="87">
        <f>AF64</f>
        <v>223593</v>
      </c>
      <c r="AG63" s="32">
        <f>AG64</f>
        <v>1600000</v>
      </c>
      <c r="AH63" s="87">
        <f>AH64</f>
        <v>0</v>
      </c>
      <c r="AI63" s="22">
        <f t="shared" si="19"/>
        <v>0</v>
      </c>
      <c r="AJ63" s="87">
        <f>AJ64</f>
        <v>0</v>
      </c>
      <c r="AK63" s="22">
        <f t="shared" si="3"/>
        <v>0</v>
      </c>
    </row>
    <row r="64" spans="1:37" s="36" customFormat="1" ht="12.75" customHeight="1">
      <c r="A64" s="35" t="s">
        <v>119</v>
      </c>
      <c r="C64" s="36" t="s">
        <v>120</v>
      </c>
      <c r="D64" s="37">
        <v>2200000</v>
      </c>
      <c r="E64" s="37">
        <v>1629958</v>
      </c>
      <c r="F64" s="38">
        <f>E64/D64*100</f>
        <v>74.089</v>
      </c>
      <c r="G64" s="37">
        <v>1990000</v>
      </c>
      <c r="H64" s="37">
        <v>1692818</v>
      </c>
      <c r="I64" s="38">
        <f>H64/G64*100</f>
        <v>85.0662311557789</v>
      </c>
      <c r="J64" s="37">
        <v>1800000</v>
      </c>
      <c r="K64" s="37">
        <v>1800000</v>
      </c>
      <c r="L64" s="37">
        <v>500000</v>
      </c>
      <c r="M64" s="37">
        <f>L64-K64</f>
        <v>-1300000</v>
      </c>
      <c r="N64" s="37">
        <v>237363</v>
      </c>
      <c r="O64" s="39">
        <f t="shared" si="17"/>
        <v>47.4726</v>
      </c>
      <c r="P64" s="37">
        <f>500000+1100000</f>
        <v>1600000</v>
      </c>
      <c r="Q64" s="39">
        <f>P64/H64*100</f>
        <v>94.51695338778298</v>
      </c>
      <c r="R64" s="39">
        <f>P64/L64*100</f>
        <v>320</v>
      </c>
      <c r="S64" s="39">
        <f t="shared" si="18"/>
        <v>674.0730442402564</v>
      </c>
      <c r="T64" s="37">
        <f>500000+1100000</f>
        <v>1600000</v>
      </c>
      <c r="U64" s="37">
        <f>500000+1100000</f>
        <v>1600000</v>
      </c>
      <c r="V64" s="37">
        <f t="shared" si="20"/>
        <v>0</v>
      </c>
      <c r="W64" s="37"/>
      <c r="X64" s="37"/>
      <c r="Y64" s="37">
        <v>0</v>
      </c>
      <c r="Z64" s="88">
        <f t="shared" si="0"/>
        <v>0</v>
      </c>
      <c r="AA64" s="88"/>
      <c r="AB64" s="37">
        <v>0</v>
      </c>
      <c r="AC64" s="88">
        <f t="shared" si="1"/>
        <v>0</v>
      </c>
      <c r="AD64" s="37">
        <v>0</v>
      </c>
      <c r="AE64" s="88">
        <f t="shared" si="2"/>
        <v>0</v>
      </c>
      <c r="AF64" s="88">
        <v>223593</v>
      </c>
      <c r="AG64" s="37">
        <f>500000+1100000</f>
        <v>1600000</v>
      </c>
      <c r="AH64" s="88">
        <v>0</v>
      </c>
      <c r="AI64" s="39">
        <f t="shared" si="19"/>
        <v>0</v>
      </c>
      <c r="AJ64" s="88">
        <v>0</v>
      </c>
      <c r="AK64" s="39">
        <f t="shared" si="3"/>
        <v>0</v>
      </c>
    </row>
    <row r="65" spans="1:37" s="31" customFormat="1" ht="12.75">
      <c r="A65" s="30">
        <v>7047</v>
      </c>
      <c r="C65" s="31" t="s">
        <v>121</v>
      </c>
      <c r="D65" s="32">
        <f>SUM(D67:D81)</f>
        <v>388800000</v>
      </c>
      <c r="E65" s="32">
        <f>SUM(E67:E81)</f>
        <v>383015071</v>
      </c>
      <c r="F65" s="34">
        <f>E65/D65*100</f>
        <v>98.51210673868313</v>
      </c>
      <c r="G65" s="32">
        <f>SUM(G67:G81)</f>
        <v>405958200</v>
      </c>
      <c r="H65" s="32">
        <f>SUM(H66:H76)</f>
        <v>443428382.97</v>
      </c>
      <c r="I65" s="32">
        <f>SUM(I66:I76)</f>
        <v>405.5746355710862</v>
      </c>
      <c r="J65" s="32">
        <f>SUM(J66:J76)</f>
        <v>66790000</v>
      </c>
      <c r="K65" s="32">
        <f>SUM(K66:K76)</f>
        <v>605791629</v>
      </c>
      <c r="L65" s="32">
        <f>SUM(L66:L76)</f>
        <v>614385854</v>
      </c>
      <c r="M65" s="33">
        <f>L65-K65</f>
        <v>8594225</v>
      </c>
      <c r="N65" s="32">
        <f>SUM(N66:N76)+N81</f>
        <v>510023615.34</v>
      </c>
      <c r="O65" s="34">
        <f t="shared" si="17"/>
        <v>83.01356745430535</v>
      </c>
      <c r="P65" s="32">
        <f>SUM(P66:P76)</f>
        <v>629000000</v>
      </c>
      <c r="Q65" s="22">
        <f>P65/H65*100</f>
        <v>141.8492870905277</v>
      </c>
      <c r="R65" s="22">
        <f>P65/L65*100</f>
        <v>102.37865925864888</v>
      </c>
      <c r="S65" s="22">
        <f t="shared" si="18"/>
        <v>123.32762269854625</v>
      </c>
      <c r="T65" s="32">
        <f>SUM(T66:T76)</f>
        <v>629000000</v>
      </c>
      <c r="U65" s="32">
        <f>SUM(U66:U76)</f>
        <v>817000000</v>
      </c>
      <c r="V65" s="33">
        <f t="shared" si="20"/>
        <v>188000000</v>
      </c>
      <c r="W65" s="33"/>
      <c r="X65" s="33"/>
      <c r="Y65" s="32">
        <f>+Y66+Y67+Y68+Y69+Y70+Y71+Y72+Y73+Y74+Y75+Y76+Y81</f>
        <v>50652036.059999995</v>
      </c>
      <c r="Z65" s="87">
        <f t="shared" si="0"/>
        <v>8.052787926868044</v>
      </c>
      <c r="AA65" s="87">
        <f>SUM(AA66:AA76)</f>
        <v>0</v>
      </c>
      <c r="AB65" s="32">
        <f>+AB66+AB67+AB68+AB69+AB70+AB71+AB72+AB73+AB74+AB75+AB76+AB81</f>
        <v>63435506.60999999</v>
      </c>
      <c r="AC65" s="87">
        <f t="shared" si="1"/>
        <v>10.085136186009537</v>
      </c>
      <c r="AD65" s="32">
        <f>+AD66+AD67+AD68+AD69+AD70+AD71+AD72+AD73+AD74+AD75+AD76+AD81</f>
        <v>212003150.10999998</v>
      </c>
      <c r="AE65" s="87">
        <f t="shared" si="2"/>
        <v>33.70479334022257</v>
      </c>
      <c r="AF65" s="87">
        <f>SUM(AF66:AF76)</f>
        <v>127789328.002859</v>
      </c>
      <c r="AG65" s="32">
        <f>SUM(AG66:AG76)</f>
        <v>1067876300</v>
      </c>
      <c r="AH65" s="87">
        <f>SUM(AH66:AH76)+AH81</f>
        <v>258692764.99</v>
      </c>
      <c r="AI65" s="22">
        <f t="shared" si="19"/>
        <v>24.224974839314257</v>
      </c>
      <c r="AJ65" s="87">
        <f>SUM(AJ66:AJ76)+AJ81</f>
        <v>270718573.90000004</v>
      </c>
      <c r="AK65" s="22">
        <f t="shared" si="3"/>
        <v>25.351117343834677</v>
      </c>
    </row>
    <row r="66" spans="1:37" s="36" customFormat="1" ht="12.75" customHeight="1">
      <c r="A66" s="35" t="s">
        <v>122</v>
      </c>
      <c r="C66" s="36" t="s">
        <v>123</v>
      </c>
      <c r="D66" s="37"/>
      <c r="E66" s="37"/>
      <c r="F66" s="39"/>
      <c r="G66" s="37"/>
      <c r="H66" s="37">
        <v>129240307</v>
      </c>
      <c r="I66" s="39"/>
      <c r="J66" s="37"/>
      <c r="K66" s="37">
        <v>340000000</v>
      </c>
      <c r="L66" s="37">
        <v>340000000</v>
      </c>
      <c r="M66" s="37">
        <f>L66-K66</f>
        <v>0</v>
      </c>
      <c r="N66" s="37">
        <f>250872259+27739270.27</f>
        <v>278611529.27</v>
      </c>
      <c r="O66" s="39">
        <f t="shared" si="17"/>
        <v>81.94456743235293</v>
      </c>
      <c r="P66" s="37">
        <f>940000000-500000000</f>
        <v>440000000</v>
      </c>
      <c r="Q66" s="39">
        <f>P66/H66*100</f>
        <v>340.4510637691382</v>
      </c>
      <c r="R66" s="39">
        <f>P66/L66*100</f>
        <v>129.41176470588235</v>
      </c>
      <c r="S66" s="39">
        <f t="shared" si="18"/>
        <v>157.925984309716</v>
      </c>
      <c r="T66" s="37">
        <f>940000000-500000000</f>
        <v>440000000</v>
      </c>
      <c r="U66" s="37">
        <f>940000000-500000000+58000000</f>
        <v>498000000</v>
      </c>
      <c r="V66" s="37">
        <f t="shared" si="20"/>
        <v>58000000</v>
      </c>
      <c r="W66" s="37">
        <f>U66-P66</f>
        <v>58000000</v>
      </c>
      <c r="X66" s="37"/>
      <c r="Y66" s="37">
        <v>46540245.73</v>
      </c>
      <c r="Z66" s="88">
        <f t="shared" si="0"/>
        <v>10.577328575</v>
      </c>
      <c r="AA66" s="88"/>
      <c r="AB66" s="37">
        <v>46540245.73</v>
      </c>
      <c r="AC66" s="88">
        <f t="shared" si="1"/>
        <v>10.577328575</v>
      </c>
      <c r="AD66" s="37">
        <v>174055436.25</v>
      </c>
      <c r="AE66" s="88">
        <f t="shared" si="2"/>
        <v>39.55805369318182</v>
      </c>
      <c r="AF66" s="88">
        <f>1386431+731201+72372294</f>
        <v>74489926</v>
      </c>
      <c r="AG66" s="37">
        <v>710000000</v>
      </c>
      <c r="AH66" s="88">
        <v>174055436.25</v>
      </c>
      <c r="AI66" s="39">
        <f t="shared" si="19"/>
        <v>24.51485017605634</v>
      </c>
      <c r="AJ66" s="88">
        <v>174055436.25</v>
      </c>
      <c r="AK66" s="39">
        <f t="shared" si="3"/>
        <v>24.51485017605634</v>
      </c>
    </row>
    <row r="67" spans="1:37" s="36" customFormat="1" ht="12.75" customHeight="1">
      <c r="A67" s="35" t="s">
        <v>124</v>
      </c>
      <c r="C67" s="36" t="s">
        <v>125</v>
      </c>
      <c r="D67" s="37">
        <v>7000000</v>
      </c>
      <c r="E67" s="37">
        <v>6769085</v>
      </c>
      <c r="F67" s="38">
        <f>E67/D67*100</f>
        <v>96.70121428571429</v>
      </c>
      <c r="G67" s="37">
        <v>7000000</v>
      </c>
      <c r="H67" s="37">
        <v>7079919</v>
      </c>
      <c r="I67" s="38">
        <f>H67/G67*100</f>
        <v>101.1417</v>
      </c>
      <c r="J67" s="37">
        <v>16000000</v>
      </c>
      <c r="K67" s="37">
        <v>16000000</v>
      </c>
      <c r="L67" s="37">
        <v>15000000</v>
      </c>
      <c r="M67" s="37">
        <f>L67-K67</f>
        <v>-1000000</v>
      </c>
      <c r="N67" s="37">
        <v>11799718</v>
      </c>
      <c r="O67" s="39">
        <f t="shared" si="17"/>
        <v>78.66478666666666</v>
      </c>
      <c r="P67" s="37">
        <v>16000000</v>
      </c>
      <c r="Q67" s="39">
        <f>P67/H67*100</f>
        <v>225.99128605849867</v>
      </c>
      <c r="R67" s="39">
        <f>P67/L67*100</f>
        <v>106.66666666666667</v>
      </c>
      <c r="S67" s="39">
        <f t="shared" si="18"/>
        <v>135.5964608645732</v>
      </c>
      <c r="T67" s="37">
        <v>16000000</v>
      </c>
      <c r="U67" s="37">
        <v>16000000</v>
      </c>
      <c r="V67" s="37">
        <f t="shared" si="20"/>
        <v>0</v>
      </c>
      <c r="W67" s="37"/>
      <c r="X67" s="37"/>
      <c r="Y67" s="37">
        <v>1029565.8</v>
      </c>
      <c r="Z67" s="88">
        <f t="shared" si="0"/>
        <v>6.43478625</v>
      </c>
      <c r="AA67" s="88"/>
      <c r="AB67" s="37">
        <v>2561302.21</v>
      </c>
      <c r="AC67" s="88">
        <f t="shared" si="1"/>
        <v>16.0081388125</v>
      </c>
      <c r="AD67" s="37">
        <v>4335185.28</v>
      </c>
      <c r="AE67" s="88">
        <f t="shared" si="2"/>
        <v>27.094908</v>
      </c>
      <c r="AF67" s="88">
        <v>6111698</v>
      </c>
      <c r="AG67" s="37">
        <v>16000000</v>
      </c>
      <c r="AH67" s="88">
        <v>5367628.66</v>
      </c>
      <c r="AI67" s="39">
        <f t="shared" si="19"/>
        <v>33.547679125</v>
      </c>
      <c r="AJ67" s="88">
        <v>6544759.81</v>
      </c>
      <c r="AK67" s="39">
        <f t="shared" si="3"/>
        <v>40.904748812499996</v>
      </c>
    </row>
    <row r="68" spans="1:37" s="36" customFormat="1" ht="12.75" customHeight="1" hidden="1">
      <c r="A68" s="35" t="s">
        <v>126</v>
      </c>
      <c r="C68" s="36" t="s">
        <v>127</v>
      </c>
      <c r="D68" s="37"/>
      <c r="E68" s="37"/>
      <c r="F68" s="38"/>
      <c r="G68" s="37"/>
      <c r="H68" s="37">
        <v>0</v>
      </c>
      <c r="I68" s="38"/>
      <c r="J68" s="37"/>
      <c r="K68" s="37"/>
      <c r="L68" s="37"/>
      <c r="M68" s="37"/>
      <c r="N68" s="37"/>
      <c r="O68" s="39" t="e">
        <f t="shared" si="17"/>
        <v>#DIV/0!</v>
      </c>
      <c r="P68" s="37"/>
      <c r="Q68" s="39"/>
      <c r="R68" s="39"/>
      <c r="S68" s="39" t="e">
        <f t="shared" si="18"/>
        <v>#DIV/0!</v>
      </c>
      <c r="T68" s="37"/>
      <c r="U68" s="37"/>
      <c r="V68" s="37">
        <f t="shared" si="20"/>
        <v>0</v>
      </c>
      <c r="W68" s="37"/>
      <c r="X68" s="37"/>
      <c r="Y68" s="37"/>
      <c r="Z68" s="88"/>
      <c r="AA68" s="88"/>
      <c r="AB68" s="37"/>
      <c r="AC68" s="88" t="e">
        <f t="shared" si="1"/>
        <v>#DIV/0!</v>
      </c>
      <c r="AD68" s="37"/>
      <c r="AE68" s="88" t="e">
        <f t="shared" si="2"/>
        <v>#DIV/0!</v>
      </c>
      <c r="AF68" s="88"/>
      <c r="AG68" s="37"/>
      <c r="AH68" s="88"/>
      <c r="AI68" s="39" t="e">
        <f t="shared" si="19"/>
        <v>#DIV/0!</v>
      </c>
      <c r="AJ68" s="88"/>
      <c r="AK68" s="39" t="e">
        <f t="shared" si="3"/>
        <v>#DIV/0!</v>
      </c>
    </row>
    <row r="69" spans="1:37" s="36" customFormat="1" ht="12.75" customHeight="1" hidden="1">
      <c r="A69" s="35" t="s">
        <v>128</v>
      </c>
      <c r="C69" s="36" t="s">
        <v>129</v>
      </c>
      <c r="D69" s="37"/>
      <c r="E69" s="37"/>
      <c r="F69" s="38"/>
      <c r="G69" s="37"/>
      <c r="H69" s="37">
        <v>3222</v>
      </c>
      <c r="I69" s="38"/>
      <c r="J69" s="37"/>
      <c r="K69" s="37"/>
      <c r="L69" s="37"/>
      <c r="M69" s="37"/>
      <c r="N69" s="37"/>
      <c r="O69" s="39" t="e">
        <f t="shared" si="17"/>
        <v>#DIV/0!</v>
      </c>
      <c r="P69" s="37"/>
      <c r="Q69" s="39"/>
      <c r="R69" s="39"/>
      <c r="S69" s="39" t="e">
        <f t="shared" si="18"/>
        <v>#DIV/0!</v>
      </c>
      <c r="T69" s="37"/>
      <c r="U69" s="37"/>
      <c r="V69" s="37">
        <f t="shared" si="20"/>
        <v>0</v>
      </c>
      <c r="W69" s="37"/>
      <c r="X69" s="37"/>
      <c r="Y69" s="37"/>
      <c r="Z69" s="88"/>
      <c r="AA69" s="88"/>
      <c r="AB69" s="37"/>
      <c r="AC69" s="88" t="e">
        <f t="shared" si="1"/>
        <v>#DIV/0!</v>
      </c>
      <c r="AD69" s="37"/>
      <c r="AE69" s="88" t="e">
        <f t="shared" si="2"/>
        <v>#DIV/0!</v>
      </c>
      <c r="AF69" s="88"/>
      <c r="AG69" s="37"/>
      <c r="AH69" s="88"/>
      <c r="AI69" s="39" t="e">
        <f t="shared" si="19"/>
        <v>#DIV/0!</v>
      </c>
      <c r="AJ69" s="88"/>
      <c r="AK69" s="39" t="e">
        <f t="shared" si="3"/>
        <v>#DIV/0!</v>
      </c>
    </row>
    <row r="70" spans="1:37" s="36" customFormat="1" ht="12.75" customHeight="1">
      <c r="A70" s="35" t="s">
        <v>130</v>
      </c>
      <c r="C70" s="36" t="s">
        <v>131</v>
      </c>
      <c r="D70" s="37">
        <v>1800000</v>
      </c>
      <c r="E70" s="37">
        <v>1585404</v>
      </c>
      <c r="F70" s="38">
        <f>E70/D70*100</f>
        <v>88.078</v>
      </c>
      <c r="G70" s="37">
        <v>1500000</v>
      </c>
      <c r="H70" s="37">
        <v>2761461</v>
      </c>
      <c r="I70" s="38">
        <f>H70/G70*100</f>
        <v>184.09740000000002</v>
      </c>
      <c r="J70" s="37">
        <v>2500000</v>
      </c>
      <c r="K70" s="37">
        <v>2500000</v>
      </c>
      <c r="L70" s="37">
        <v>2500000</v>
      </c>
      <c r="M70" s="37">
        <f>L70-K70</f>
        <v>0</v>
      </c>
      <c r="N70" s="37">
        <v>2618160</v>
      </c>
      <c r="O70" s="39">
        <f t="shared" si="17"/>
        <v>104.7264</v>
      </c>
      <c r="P70" s="37">
        <v>3000000</v>
      </c>
      <c r="Q70" s="39">
        <f>P70/H70*100</f>
        <v>108.63814480812874</v>
      </c>
      <c r="R70" s="39">
        <f>P70/L70*100</f>
        <v>120</v>
      </c>
      <c r="S70" s="39">
        <f t="shared" si="18"/>
        <v>114.5842882024017</v>
      </c>
      <c r="T70" s="37">
        <v>3000000</v>
      </c>
      <c r="U70" s="37">
        <v>3000000</v>
      </c>
      <c r="V70" s="37">
        <f t="shared" si="20"/>
        <v>0</v>
      </c>
      <c r="W70" s="37"/>
      <c r="X70" s="37"/>
      <c r="Y70" s="37">
        <v>208521.24</v>
      </c>
      <c r="Z70" s="88">
        <f t="shared" si="0"/>
        <v>6.950708</v>
      </c>
      <c r="AA70" s="88"/>
      <c r="AB70" s="37">
        <v>685549.47</v>
      </c>
      <c r="AC70" s="88">
        <f t="shared" si="1"/>
        <v>22.851649</v>
      </c>
      <c r="AD70" s="37">
        <v>871671.12</v>
      </c>
      <c r="AE70" s="88">
        <f t="shared" si="2"/>
        <v>29.055704</v>
      </c>
      <c r="AF70" s="88">
        <v>1026636</v>
      </c>
      <c r="AG70" s="37">
        <v>3000000</v>
      </c>
      <c r="AH70" s="88">
        <v>1331860.58</v>
      </c>
      <c r="AI70" s="39">
        <f t="shared" si="19"/>
        <v>44.39535266666667</v>
      </c>
      <c r="AJ70" s="88">
        <v>1411294.68</v>
      </c>
      <c r="AK70" s="39">
        <f t="shared" si="3"/>
        <v>47.043155999999996</v>
      </c>
    </row>
    <row r="71" spans="1:37" s="36" customFormat="1" ht="12.75" customHeight="1" hidden="1">
      <c r="A71" s="35" t="s">
        <v>132</v>
      </c>
      <c r="C71" s="36" t="s">
        <v>133</v>
      </c>
      <c r="D71" s="37"/>
      <c r="E71" s="37"/>
      <c r="F71" s="38"/>
      <c r="G71" s="37">
        <v>10000</v>
      </c>
      <c r="H71" s="37">
        <v>4958</v>
      </c>
      <c r="I71" s="38"/>
      <c r="J71" s="37">
        <v>10000</v>
      </c>
      <c r="K71" s="37">
        <v>10000</v>
      </c>
      <c r="L71" s="37"/>
      <c r="M71" s="37">
        <f>L71-K71</f>
        <v>-10000</v>
      </c>
      <c r="N71" s="37"/>
      <c r="O71" s="39" t="e">
        <f t="shared" si="17"/>
        <v>#DIV/0!</v>
      </c>
      <c r="P71" s="37"/>
      <c r="Q71" s="39"/>
      <c r="R71" s="39"/>
      <c r="S71" s="39" t="e">
        <f t="shared" si="18"/>
        <v>#DIV/0!</v>
      </c>
      <c r="T71" s="37"/>
      <c r="U71" s="37"/>
      <c r="V71" s="37">
        <f t="shared" si="20"/>
        <v>0</v>
      </c>
      <c r="W71" s="37"/>
      <c r="X71" s="37"/>
      <c r="Y71" s="37"/>
      <c r="Z71" s="88"/>
      <c r="AA71" s="88"/>
      <c r="AB71" s="37"/>
      <c r="AC71" s="88" t="e">
        <f t="shared" si="1"/>
        <v>#DIV/0!</v>
      </c>
      <c r="AD71" s="37"/>
      <c r="AE71" s="88" t="e">
        <f t="shared" si="2"/>
        <v>#DIV/0!</v>
      </c>
      <c r="AF71" s="88"/>
      <c r="AG71" s="37"/>
      <c r="AH71" s="88"/>
      <c r="AI71" s="39" t="e">
        <f t="shared" si="19"/>
        <v>#DIV/0!</v>
      </c>
      <c r="AJ71" s="88"/>
      <c r="AK71" s="39" t="e">
        <f t="shared" si="3"/>
        <v>#DIV/0!</v>
      </c>
    </row>
    <row r="72" spans="1:37" s="36" customFormat="1" ht="12.75" customHeight="1">
      <c r="A72" s="35" t="s">
        <v>134</v>
      </c>
      <c r="C72" s="36" t="s">
        <v>135</v>
      </c>
      <c r="D72" s="40">
        <v>340000000</v>
      </c>
      <c r="E72" s="40">
        <v>341383750</v>
      </c>
      <c r="F72" s="38">
        <f>E72/D72*100</f>
        <v>100.40698529411765</v>
      </c>
      <c r="G72" s="40">
        <f>355720000-14700000-2551800-1020000</f>
        <v>337448200</v>
      </c>
      <c r="H72" s="37">
        <f>168280460.54+11511402.43</f>
        <v>179791862.97</v>
      </c>
      <c r="I72" s="38">
        <f>H72/G72*100</f>
        <v>53.27984057108617</v>
      </c>
      <c r="J72" s="37">
        <v>8280000</v>
      </c>
      <c r="K72" s="37">
        <f>8280000+38876275</f>
        <v>47156275</v>
      </c>
      <c r="L72" s="37">
        <f>8280000+38876275</f>
        <v>47156275</v>
      </c>
      <c r="M72" s="37">
        <f>L72-K72</f>
        <v>0</v>
      </c>
      <c r="N72" s="37">
        <v>26173892</v>
      </c>
      <c r="O72" s="39">
        <f t="shared" si="17"/>
        <v>55.504579189089895</v>
      </c>
      <c r="P72" s="37">
        <v>10000000</v>
      </c>
      <c r="Q72" s="39">
        <f>P72/H72*100</f>
        <v>5.561986974721207</v>
      </c>
      <c r="R72" s="39">
        <f>P72/L72*100</f>
        <v>21.206085510358907</v>
      </c>
      <c r="S72" s="39">
        <f t="shared" si="18"/>
        <v>38.206010783570136</v>
      </c>
      <c r="T72" s="37">
        <v>10000000</v>
      </c>
      <c r="U72" s="37">
        <v>10000000</v>
      </c>
      <c r="V72" s="37">
        <f t="shared" si="20"/>
        <v>0</v>
      </c>
      <c r="W72" s="37"/>
      <c r="X72" s="37"/>
      <c r="Y72" s="37">
        <v>351526.39</v>
      </c>
      <c r="Z72" s="88">
        <f aca="true" t="shared" si="21" ref="Z72:Z135">+Y72/P72*100</f>
        <v>3.5152639</v>
      </c>
      <c r="AA72" s="88"/>
      <c r="AB72" s="37">
        <v>887006.3</v>
      </c>
      <c r="AC72" s="88">
        <f aca="true" t="shared" si="22" ref="AC72:AC136">+AB72/P72*100</f>
        <v>8.870063</v>
      </c>
      <c r="AD72" s="37">
        <v>1522802.76</v>
      </c>
      <c r="AE72" s="88">
        <f aca="true" t="shared" si="23" ref="AE72:AE136">AD72/P72*100</f>
        <v>15.228027599999999</v>
      </c>
      <c r="AF72" s="88">
        <v>3211798</v>
      </c>
      <c r="AG72" s="37">
        <v>48876300</v>
      </c>
      <c r="AH72" s="88">
        <v>2460684.74</v>
      </c>
      <c r="AI72" s="39">
        <f t="shared" si="19"/>
        <v>5.034515174020948</v>
      </c>
      <c r="AJ72" s="88">
        <v>2759063.69</v>
      </c>
      <c r="AK72" s="39">
        <f aca="true" t="shared" si="24" ref="AK72:AK135">+AJ72/AG72*100</f>
        <v>5.644992951594126</v>
      </c>
    </row>
    <row r="73" spans="1:37" s="36" customFormat="1" ht="12.75" customHeight="1" hidden="1">
      <c r="A73" s="35" t="s">
        <v>136</v>
      </c>
      <c r="C73" s="36" t="s">
        <v>137</v>
      </c>
      <c r="D73" s="40"/>
      <c r="E73" s="40"/>
      <c r="F73" s="38"/>
      <c r="G73" s="40"/>
      <c r="H73" s="37"/>
      <c r="I73" s="38"/>
      <c r="J73" s="37"/>
      <c r="K73" s="37"/>
      <c r="L73" s="37"/>
      <c r="M73" s="37"/>
      <c r="N73" s="37"/>
      <c r="O73" s="39" t="e">
        <f t="shared" si="17"/>
        <v>#DIV/0!</v>
      </c>
      <c r="P73" s="37"/>
      <c r="Q73" s="39"/>
      <c r="R73" s="39"/>
      <c r="S73" s="39" t="e">
        <f t="shared" si="18"/>
        <v>#DIV/0!</v>
      </c>
      <c r="T73" s="37"/>
      <c r="U73" s="37"/>
      <c r="V73" s="37">
        <f t="shared" si="20"/>
        <v>0</v>
      </c>
      <c r="W73" s="37"/>
      <c r="X73" s="37"/>
      <c r="Y73" s="37">
        <v>0</v>
      </c>
      <c r="Z73" s="88"/>
      <c r="AA73" s="88"/>
      <c r="AB73" s="37">
        <v>0</v>
      </c>
      <c r="AC73" s="88" t="e">
        <f t="shared" si="22"/>
        <v>#DIV/0!</v>
      </c>
      <c r="AD73" s="37">
        <v>0</v>
      </c>
      <c r="AE73" s="88" t="e">
        <f t="shared" si="23"/>
        <v>#DIV/0!</v>
      </c>
      <c r="AF73" s="88"/>
      <c r="AG73" s="37"/>
      <c r="AH73" s="88"/>
      <c r="AI73" s="39" t="e">
        <f t="shared" si="19"/>
        <v>#DIV/0!</v>
      </c>
      <c r="AJ73" s="88"/>
      <c r="AK73" s="39" t="e">
        <f t="shared" si="24"/>
        <v>#DIV/0!</v>
      </c>
    </row>
    <row r="74" spans="1:37" s="36" customFormat="1" ht="12.75" customHeight="1">
      <c r="A74" s="35" t="s">
        <v>138</v>
      </c>
      <c r="C74" s="36" t="s">
        <v>139</v>
      </c>
      <c r="D74" s="37">
        <v>40000000</v>
      </c>
      <c r="E74" s="37">
        <v>33276832</v>
      </c>
      <c r="F74" s="38">
        <f>E74/D74*100</f>
        <v>83.19208</v>
      </c>
      <c r="G74" s="37">
        <v>60000000</v>
      </c>
      <c r="H74" s="37">
        <v>40233417</v>
      </c>
      <c r="I74" s="38">
        <f>H74/G74*100</f>
        <v>67.055695</v>
      </c>
      <c r="J74" s="37">
        <v>40000000</v>
      </c>
      <c r="K74" s="37">
        <v>40000000</v>
      </c>
      <c r="L74" s="37">
        <v>45000000</v>
      </c>
      <c r="M74" s="37">
        <f aca="true" t="shared" si="25" ref="M74:M80">L74-K74</f>
        <v>5000000</v>
      </c>
      <c r="N74" s="37">
        <v>40117299</v>
      </c>
      <c r="O74" s="39">
        <f t="shared" si="17"/>
        <v>89.14955333333333</v>
      </c>
      <c r="P74" s="37">
        <f>47000000+1500000</f>
        <v>48500000</v>
      </c>
      <c r="Q74" s="39">
        <f aca="true" t="shared" si="26" ref="Q74:Q79">P74/H74*100</f>
        <v>120.54655959248998</v>
      </c>
      <c r="R74" s="39">
        <f aca="true" t="shared" si="27" ref="R74:R80">P74/L74*100</f>
        <v>107.77777777777777</v>
      </c>
      <c r="S74" s="39">
        <f t="shared" si="18"/>
        <v>120.89547703597891</v>
      </c>
      <c r="T74" s="37">
        <f>47000000+1500000</f>
        <v>48500000</v>
      </c>
      <c r="U74" s="37">
        <f>47000000+1500000</f>
        <v>48500000</v>
      </c>
      <c r="V74" s="37">
        <f t="shared" si="20"/>
        <v>0</v>
      </c>
      <c r="W74" s="37"/>
      <c r="X74" s="37"/>
      <c r="Y74" s="37">
        <v>2287912</v>
      </c>
      <c r="Z74" s="88">
        <f t="shared" si="21"/>
        <v>4.717344329896908</v>
      </c>
      <c r="AA74" s="88"/>
      <c r="AB74" s="37">
        <v>2287912</v>
      </c>
      <c r="AC74" s="88">
        <f t="shared" si="22"/>
        <v>4.717344329896908</v>
      </c>
      <c r="AD74" s="37">
        <v>2287912</v>
      </c>
      <c r="AE74" s="88">
        <f t="shared" si="23"/>
        <v>4.717344329896908</v>
      </c>
      <c r="AF74" s="88">
        <v>15978589</v>
      </c>
      <c r="AG74" s="37">
        <f>47000000+1500000</f>
        <v>48500000</v>
      </c>
      <c r="AH74" s="88">
        <v>2287912</v>
      </c>
      <c r="AI74" s="39">
        <f t="shared" si="19"/>
        <v>4.717344329896908</v>
      </c>
      <c r="AJ74" s="88">
        <v>2287912</v>
      </c>
      <c r="AK74" s="39">
        <f t="shared" si="24"/>
        <v>4.717344329896908</v>
      </c>
    </row>
    <row r="75" spans="1:37" s="36" customFormat="1" ht="12.75" customHeight="1">
      <c r="A75" s="35" t="s">
        <v>140</v>
      </c>
      <c r="C75" s="36" t="s">
        <v>141</v>
      </c>
      <c r="D75" s="37"/>
      <c r="E75" s="37"/>
      <c r="F75" s="38"/>
      <c r="G75" s="37"/>
      <c r="H75" s="37">
        <v>3253413</v>
      </c>
      <c r="I75" s="38"/>
      <c r="J75" s="37"/>
      <c r="K75" s="37">
        <v>1500000</v>
      </c>
      <c r="L75" s="37">
        <v>1500000</v>
      </c>
      <c r="M75" s="37">
        <f t="shared" si="25"/>
        <v>0</v>
      </c>
      <c r="N75" s="37">
        <v>1336260</v>
      </c>
      <c r="O75" s="39">
        <f t="shared" si="17"/>
        <v>89.084</v>
      </c>
      <c r="P75" s="37">
        <v>1500000</v>
      </c>
      <c r="Q75" s="39">
        <f t="shared" si="26"/>
        <v>46.105428360924364</v>
      </c>
      <c r="R75" s="39">
        <f t="shared" si="27"/>
        <v>100</v>
      </c>
      <c r="S75" s="39">
        <f t="shared" si="18"/>
        <v>112.25360334066723</v>
      </c>
      <c r="T75" s="37">
        <v>1500000</v>
      </c>
      <c r="U75" s="37">
        <v>1500000</v>
      </c>
      <c r="V75" s="37">
        <f t="shared" si="20"/>
        <v>0</v>
      </c>
      <c r="W75" s="37"/>
      <c r="X75" s="37"/>
      <c r="Y75" s="37">
        <v>0</v>
      </c>
      <c r="Z75" s="88">
        <f t="shared" si="21"/>
        <v>0</v>
      </c>
      <c r="AA75" s="88"/>
      <c r="AB75" s="37">
        <v>0</v>
      </c>
      <c r="AC75" s="88">
        <f t="shared" si="22"/>
        <v>0</v>
      </c>
      <c r="AD75" s="37">
        <v>0</v>
      </c>
      <c r="AE75" s="88">
        <f t="shared" si="23"/>
        <v>0</v>
      </c>
      <c r="AF75" s="88">
        <v>0</v>
      </c>
      <c r="AG75" s="37">
        <v>1500000</v>
      </c>
      <c r="AH75" s="88">
        <v>0</v>
      </c>
      <c r="AI75" s="39">
        <f t="shared" si="19"/>
        <v>0</v>
      </c>
      <c r="AJ75" s="88">
        <v>4990200</v>
      </c>
      <c r="AK75" s="39">
        <f t="shared" si="24"/>
        <v>332.68</v>
      </c>
    </row>
    <row r="76" spans="1:37" s="36" customFormat="1" ht="12.75" customHeight="1">
      <c r="A76" s="35" t="s">
        <v>142</v>
      </c>
      <c r="C76" s="36" t="s">
        <v>143</v>
      </c>
      <c r="D76" s="37"/>
      <c r="E76" s="37"/>
      <c r="F76" s="38"/>
      <c r="G76" s="37"/>
      <c r="H76" s="37">
        <f>SUM(H77:H80)</f>
        <v>81059823</v>
      </c>
      <c r="I76" s="37">
        <f>SUM(I77:I80)</f>
        <v>0</v>
      </c>
      <c r="J76" s="37">
        <f>SUM(J77:J80)</f>
        <v>0</v>
      </c>
      <c r="K76" s="37">
        <f>SUM(K77:K80)</f>
        <v>158625354</v>
      </c>
      <c r="L76" s="37">
        <f>SUM(L77:L80)</f>
        <v>163229579</v>
      </c>
      <c r="M76" s="37">
        <f t="shared" si="25"/>
        <v>4604225</v>
      </c>
      <c r="N76" s="37">
        <f>SUM(N77:N80)</f>
        <v>146540357.2</v>
      </c>
      <c r="O76" s="39">
        <f t="shared" si="17"/>
        <v>89.77561425922687</v>
      </c>
      <c r="P76" s="37">
        <f>SUM(P77:P80)</f>
        <v>110000000</v>
      </c>
      <c r="Q76" s="37">
        <f aca="true" t="shared" si="28" ref="Q76:AA76">SUM(Q77:Q80)</f>
        <v>447.86688394737007</v>
      </c>
      <c r="R76" s="37">
        <f t="shared" si="28"/>
        <v>398.2419359743923</v>
      </c>
      <c r="S76" s="37">
        <f t="shared" si="28"/>
        <v>405.0523251631083</v>
      </c>
      <c r="T76" s="37">
        <f t="shared" si="28"/>
        <v>110000000</v>
      </c>
      <c r="U76" s="37">
        <f t="shared" si="28"/>
        <v>240000000</v>
      </c>
      <c r="V76" s="37">
        <f t="shared" si="28"/>
        <v>130000000</v>
      </c>
      <c r="W76" s="37">
        <f t="shared" si="28"/>
        <v>0</v>
      </c>
      <c r="X76" s="37">
        <f t="shared" si="28"/>
        <v>0</v>
      </c>
      <c r="Y76" s="37">
        <f t="shared" si="28"/>
        <v>0</v>
      </c>
      <c r="Z76" s="88">
        <f t="shared" si="21"/>
        <v>0</v>
      </c>
      <c r="AA76" s="37">
        <f t="shared" si="28"/>
        <v>0</v>
      </c>
      <c r="AB76" s="37">
        <f>SUM(AB77:AB80)</f>
        <v>10000000</v>
      </c>
      <c r="AC76" s="88">
        <f t="shared" si="22"/>
        <v>9.090909090909092</v>
      </c>
      <c r="AD76" s="37">
        <f>SUM(AD77:AD80)</f>
        <v>28500000</v>
      </c>
      <c r="AE76" s="88">
        <f t="shared" si="23"/>
        <v>25.90909090909091</v>
      </c>
      <c r="AF76" s="88">
        <f>+AF77+AF78+AF79+AF80</f>
        <v>26970681.002859</v>
      </c>
      <c r="AG76" s="37">
        <f>SUM(AG77:AG80)</f>
        <v>240000000</v>
      </c>
      <c r="AH76" s="88">
        <f>SUM(AH77:AH80)</f>
        <v>72670940</v>
      </c>
      <c r="AI76" s="39">
        <f t="shared" si="19"/>
        <v>30.279558333333334</v>
      </c>
      <c r="AJ76" s="88">
        <f>SUM(AJ77:AJ80)</f>
        <v>78127170.61</v>
      </c>
      <c r="AK76" s="39">
        <f t="shared" si="24"/>
        <v>32.552987754166665</v>
      </c>
    </row>
    <row r="77" spans="1:37" s="43" customFormat="1" ht="12.75" customHeight="1">
      <c r="A77" s="41" t="s">
        <v>144</v>
      </c>
      <c r="B77" s="42"/>
      <c r="C77" s="43" t="s">
        <v>145</v>
      </c>
      <c r="D77" s="44"/>
      <c r="E77" s="44"/>
      <c r="F77" s="45"/>
      <c r="G77" s="44"/>
      <c r="H77" s="44">
        <v>43675603</v>
      </c>
      <c r="I77" s="45"/>
      <c r="J77" s="44"/>
      <c r="K77" s="44">
        <v>55000000</v>
      </c>
      <c r="L77" s="44">
        <v>30000000</v>
      </c>
      <c r="M77" s="44">
        <f t="shared" si="25"/>
        <v>-25000000</v>
      </c>
      <c r="N77" s="44">
        <v>20000000</v>
      </c>
      <c r="O77" s="45">
        <f t="shared" si="17"/>
        <v>66.66666666666666</v>
      </c>
      <c r="P77" s="44">
        <v>30000000</v>
      </c>
      <c r="Q77" s="45">
        <f t="shared" si="26"/>
        <v>68.68823310808095</v>
      </c>
      <c r="R77" s="45">
        <f t="shared" si="27"/>
        <v>100</v>
      </c>
      <c r="S77" s="45">
        <f t="shared" si="18"/>
        <v>150</v>
      </c>
      <c r="T77" s="44">
        <v>30000000</v>
      </c>
      <c r="U77" s="44">
        <v>30000000</v>
      </c>
      <c r="V77" s="44">
        <f t="shared" si="20"/>
        <v>0</v>
      </c>
      <c r="W77" s="44"/>
      <c r="X77" s="44"/>
      <c r="Y77" s="44">
        <v>0</v>
      </c>
      <c r="Z77" s="90">
        <f t="shared" si="21"/>
        <v>0</v>
      </c>
      <c r="AA77" s="90"/>
      <c r="AB77" s="44">
        <v>10000000</v>
      </c>
      <c r="AC77" s="90">
        <f t="shared" si="22"/>
        <v>33.33333333333333</v>
      </c>
      <c r="AD77" s="44">
        <v>15000000</v>
      </c>
      <c r="AE77" s="90">
        <f t="shared" si="23"/>
        <v>50</v>
      </c>
      <c r="AF77" s="90">
        <f>10000000*0.99639</f>
        <v>9963900</v>
      </c>
      <c r="AG77" s="44">
        <v>55000000</v>
      </c>
      <c r="AH77" s="90">
        <v>20000000</v>
      </c>
      <c r="AI77" s="45">
        <f t="shared" si="19"/>
        <v>36.36363636363637</v>
      </c>
      <c r="AJ77" s="90">
        <v>20000000</v>
      </c>
      <c r="AK77" s="45">
        <f t="shared" si="24"/>
        <v>36.36363636363637</v>
      </c>
    </row>
    <row r="78" spans="1:37" s="43" customFormat="1" ht="11.25">
      <c r="A78" s="41" t="s">
        <v>146</v>
      </c>
      <c r="B78" s="42"/>
      <c r="C78" s="43" t="s">
        <v>147</v>
      </c>
      <c r="D78" s="44"/>
      <c r="E78" s="44"/>
      <c r="F78" s="45"/>
      <c r="G78" s="44"/>
      <c r="H78" s="44">
        <v>24293780</v>
      </c>
      <c r="I78" s="45"/>
      <c r="J78" s="44"/>
      <c r="K78" s="44">
        <v>88900000</v>
      </c>
      <c r="L78" s="44">
        <v>88900000</v>
      </c>
      <c r="M78" s="44">
        <f t="shared" si="25"/>
        <v>0</v>
      </c>
      <c r="N78" s="44">
        <v>79567737.1</v>
      </c>
      <c r="O78" s="45">
        <f t="shared" si="17"/>
        <v>89.50251642294712</v>
      </c>
      <c r="P78" s="44">
        <v>55000000</v>
      </c>
      <c r="Q78" s="45">
        <f t="shared" si="26"/>
        <v>226.39539832829638</v>
      </c>
      <c r="R78" s="45">
        <f t="shared" si="27"/>
        <v>61.86726659167604</v>
      </c>
      <c r="S78" s="45">
        <f t="shared" si="18"/>
        <v>69.12349402481625</v>
      </c>
      <c r="T78" s="44">
        <v>55000000</v>
      </c>
      <c r="U78" s="44">
        <f>55000000+80000000</f>
        <v>135000000</v>
      </c>
      <c r="V78" s="44">
        <f t="shared" si="20"/>
        <v>80000000</v>
      </c>
      <c r="W78" s="44"/>
      <c r="X78" s="44"/>
      <c r="Y78" s="44">
        <v>0</v>
      </c>
      <c r="Z78" s="90">
        <f t="shared" si="21"/>
        <v>0</v>
      </c>
      <c r="AA78" s="90"/>
      <c r="AB78" s="44">
        <v>0</v>
      </c>
      <c r="AC78" s="90">
        <f t="shared" si="22"/>
        <v>0</v>
      </c>
      <c r="AD78" s="44">
        <v>13500000</v>
      </c>
      <c r="AE78" s="90">
        <f t="shared" si="23"/>
        <v>24.545454545454547</v>
      </c>
      <c r="AF78" s="90">
        <f>6000000*0.99639</f>
        <v>5978340</v>
      </c>
      <c r="AG78" s="44">
        <v>135000000</v>
      </c>
      <c r="AH78" s="90">
        <v>43500000</v>
      </c>
      <c r="AI78" s="45">
        <f t="shared" si="19"/>
        <v>32.22222222222222</v>
      </c>
      <c r="AJ78" s="90">
        <v>43500000</v>
      </c>
      <c r="AK78" s="45">
        <f t="shared" si="24"/>
        <v>32.22222222222222</v>
      </c>
    </row>
    <row r="79" spans="1:37" s="43" customFormat="1" ht="11.25">
      <c r="A79" s="41" t="s">
        <v>148</v>
      </c>
      <c r="B79" s="42"/>
      <c r="C79" s="43" t="s">
        <v>149</v>
      </c>
      <c r="D79" s="44"/>
      <c r="E79" s="44"/>
      <c r="F79" s="45"/>
      <c r="G79" s="44"/>
      <c r="H79" s="44">
        <v>13090440</v>
      </c>
      <c r="I79" s="45"/>
      <c r="J79" s="44"/>
      <c r="K79" s="44">
        <v>9000000</v>
      </c>
      <c r="L79" s="44">
        <v>9000000</v>
      </c>
      <c r="M79" s="44">
        <f t="shared" si="25"/>
        <v>0</v>
      </c>
      <c r="N79" s="44">
        <v>11643044.1</v>
      </c>
      <c r="O79" s="45">
        <f t="shared" si="17"/>
        <v>129.36715666666666</v>
      </c>
      <c r="P79" s="44">
        <v>20000000</v>
      </c>
      <c r="Q79" s="45">
        <f t="shared" si="26"/>
        <v>152.78325251099275</v>
      </c>
      <c r="R79" s="45">
        <f t="shared" si="27"/>
        <v>222.22222222222223</v>
      </c>
      <c r="S79" s="45">
        <f t="shared" si="18"/>
        <v>171.7763827760474</v>
      </c>
      <c r="T79" s="44">
        <v>20000000</v>
      </c>
      <c r="U79" s="44">
        <f>20000000+25000000</f>
        <v>45000000</v>
      </c>
      <c r="V79" s="44">
        <f t="shared" si="20"/>
        <v>25000000</v>
      </c>
      <c r="W79" s="44"/>
      <c r="X79" s="44"/>
      <c r="Y79" s="44">
        <v>0</v>
      </c>
      <c r="Z79" s="90">
        <f t="shared" si="21"/>
        <v>0</v>
      </c>
      <c r="AA79" s="90"/>
      <c r="AB79" s="44">
        <v>0</v>
      </c>
      <c r="AC79" s="90">
        <f t="shared" si="22"/>
        <v>0</v>
      </c>
      <c r="AD79" s="44">
        <v>0</v>
      </c>
      <c r="AE79" s="90">
        <f t="shared" si="23"/>
        <v>0</v>
      </c>
      <c r="AF79" s="90">
        <f>5343044.1*0.99639-0.01</f>
        <v>5323755.7007989995</v>
      </c>
      <c r="AG79" s="44">
        <v>45000000</v>
      </c>
      <c r="AH79" s="90">
        <v>0</v>
      </c>
      <c r="AI79" s="45">
        <f t="shared" si="19"/>
        <v>0</v>
      </c>
      <c r="AJ79" s="90">
        <v>5456230.61</v>
      </c>
      <c r="AK79" s="45">
        <f t="shared" si="24"/>
        <v>12.124956911111113</v>
      </c>
    </row>
    <row r="80" spans="1:37" s="43" customFormat="1" ht="11.25">
      <c r="A80" s="41" t="s">
        <v>150</v>
      </c>
      <c r="B80" s="42"/>
      <c r="C80" s="43" t="s">
        <v>151</v>
      </c>
      <c r="D80" s="44"/>
      <c r="E80" s="44"/>
      <c r="F80" s="45"/>
      <c r="G80" s="44"/>
      <c r="H80" s="44"/>
      <c r="I80" s="45"/>
      <c r="J80" s="44"/>
      <c r="K80" s="44">
        <v>5725354</v>
      </c>
      <c r="L80" s="44">
        <f>5725354+29604225</f>
        <v>35329579</v>
      </c>
      <c r="M80" s="44">
        <f t="shared" si="25"/>
        <v>29604225</v>
      </c>
      <c r="N80" s="44">
        <v>35329576</v>
      </c>
      <c r="O80" s="45">
        <f t="shared" si="17"/>
        <v>99.9999915085317</v>
      </c>
      <c r="P80" s="44">
        <v>5000000</v>
      </c>
      <c r="Q80" s="45"/>
      <c r="R80" s="45">
        <f t="shared" si="27"/>
        <v>14.152447160494045</v>
      </c>
      <c r="S80" s="45">
        <f t="shared" si="18"/>
        <v>14.15244836224471</v>
      </c>
      <c r="T80" s="44">
        <v>5000000</v>
      </c>
      <c r="U80" s="44">
        <f>5000000+25000000</f>
        <v>30000000</v>
      </c>
      <c r="V80" s="44">
        <f t="shared" si="20"/>
        <v>25000000</v>
      </c>
      <c r="W80" s="44"/>
      <c r="X80" s="44"/>
      <c r="Y80" s="44">
        <v>0</v>
      </c>
      <c r="Z80" s="90">
        <f t="shared" si="21"/>
        <v>0</v>
      </c>
      <c r="AA80" s="90"/>
      <c r="AB80" s="44">
        <v>0</v>
      </c>
      <c r="AC80" s="90">
        <f t="shared" si="22"/>
        <v>0</v>
      </c>
      <c r="AD80" s="44">
        <v>0</v>
      </c>
      <c r="AE80" s="90">
        <f t="shared" si="23"/>
        <v>0</v>
      </c>
      <c r="AF80" s="90">
        <f>5725354*0.99639-0.17</f>
        <v>5704685.30206</v>
      </c>
      <c r="AG80" s="44">
        <v>5000000</v>
      </c>
      <c r="AH80" s="90">
        <v>9170940</v>
      </c>
      <c r="AI80" s="45">
        <f t="shared" si="19"/>
        <v>183.4188</v>
      </c>
      <c r="AJ80" s="90">
        <v>9170940</v>
      </c>
      <c r="AK80" s="45">
        <f t="shared" si="24"/>
        <v>183.4188</v>
      </c>
    </row>
    <row r="81" spans="1:37" s="36" customFormat="1" ht="11.25">
      <c r="A81" s="35" t="s">
        <v>152</v>
      </c>
      <c r="C81" s="36" t="s">
        <v>153</v>
      </c>
      <c r="D81" s="37"/>
      <c r="E81" s="37"/>
      <c r="F81" s="38"/>
      <c r="G81" s="37"/>
      <c r="H81" s="37"/>
      <c r="I81" s="38"/>
      <c r="J81" s="37"/>
      <c r="K81" s="37"/>
      <c r="L81" s="37"/>
      <c r="M81" s="37"/>
      <c r="N81" s="37">
        <v>2826399.87</v>
      </c>
      <c r="O81" s="39"/>
      <c r="P81" s="37"/>
      <c r="Q81" s="37"/>
      <c r="R81" s="37"/>
      <c r="S81" s="37">
        <f t="shared" si="18"/>
        <v>0</v>
      </c>
      <c r="T81" s="37"/>
      <c r="U81" s="37"/>
      <c r="V81" s="37">
        <f t="shared" si="20"/>
        <v>0</v>
      </c>
      <c r="W81" s="37"/>
      <c r="X81" s="37"/>
      <c r="Y81" s="37">
        <v>234264.9</v>
      </c>
      <c r="Z81" s="88"/>
      <c r="AA81" s="88"/>
      <c r="AB81" s="37">
        <v>473490.9</v>
      </c>
      <c r="AC81" s="88"/>
      <c r="AD81" s="37">
        <v>430142.7</v>
      </c>
      <c r="AE81" s="88"/>
      <c r="AF81" s="88"/>
      <c r="AG81" s="37"/>
      <c r="AH81" s="88">
        <v>518302.76</v>
      </c>
      <c r="AI81" s="39"/>
      <c r="AJ81" s="88">
        <v>542736.86</v>
      </c>
      <c r="AK81" s="39"/>
    </row>
    <row r="82" spans="1:37" ht="9" customHeight="1" hidden="1">
      <c r="A82" s="28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6"/>
      <c r="P82" s="25"/>
      <c r="Q82" s="25"/>
      <c r="R82" s="25"/>
      <c r="S82" s="25" t="e">
        <f t="shared" si="18"/>
        <v>#DIV/0!</v>
      </c>
      <c r="T82" s="25"/>
      <c r="U82" s="25"/>
      <c r="V82" s="25">
        <f t="shared" si="20"/>
        <v>0</v>
      </c>
      <c r="W82" s="25"/>
      <c r="X82" s="25"/>
      <c r="Y82" s="25"/>
      <c r="Z82" s="89"/>
      <c r="AA82" s="89"/>
      <c r="AB82" s="25"/>
      <c r="AC82" s="89"/>
      <c r="AD82" s="25"/>
      <c r="AE82" s="89"/>
      <c r="AF82" s="89"/>
      <c r="AH82" s="89"/>
      <c r="AI82" s="26"/>
      <c r="AJ82" s="89"/>
      <c r="AK82" s="26"/>
    </row>
    <row r="83" spans="1:37" s="31" customFormat="1" ht="12.75" hidden="1">
      <c r="A83" s="30">
        <v>706</v>
      </c>
      <c r="C83" s="31" t="s">
        <v>154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4"/>
      <c r="P83" s="32"/>
      <c r="Q83" s="32"/>
      <c r="R83" s="32"/>
      <c r="S83" s="32" t="e">
        <f t="shared" si="18"/>
        <v>#DIV/0!</v>
      </c>
      <c r="T83" s="32"/>
      <c r="U83" s="32"/>
      <c r="V83" s="32">
        <f t="shared" si="20"/>
        <v>0</v>
      </c>
      <c r="W83" s="32"/>
      <c r="X83" s="32"/>
      <c r="Y83" s="32"/>
      <c r="Z83" s="87"/>
      <c r="AA83" s="87"/>
      <c r="AB83" s="32"/>
      <c r="AC83" s="87"/>
      <c r="AD83" s="32"/>
      <c r="AE83" s="87"/>
      <c r="AF83" s="87"/>
      <c r="AG83" s="32"/>
      <c r="AH83" s="87"/>
      <c r="AI83" s="34"/>
      <c r="AJ83" s="87"/>
      <c r="AK83" s="34"/>
    </row>
    <row r="84" spans="1:37" ht="12.75" hidden="1">
      <c r="A84" s="28">
        <v>7060</v>
      </c>
      <c r="C84" t="s">
        <v>155</v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6"/>
      <c r="P84" s="25"/>
      <c r="Q84" s="25"/>
      <c r="R84" s="25"/>
      <c r="S84" s="25" t="e">
        <f t="shared" si="18"/>
        <v>#DIV/0!</v>
      </c>
      <c r="T84" s="25"/>
      <c r="U84" s="25"/>
      <c r="V84" s="25">
        <f t="shared" si="20"/>
        <v>0</v>
      </c>
      <c r="W84" s="25"/>
      <c r="X84" s="25"/>
      <c r="Y84" s="25">
        <v>0</v>
      </c>
      <c r="Z84" s="89"/>
      <c r="AA84" s="89"/>
      <c r="AB84" s="25">
        <v>0</v>
      </c>
      <c r="AC84" s="89"/>
      <c r="AD84" s="25">
        <v>0</v>
      </c>
      <c r="AE84" s="89"/>
      <c r="AF84" s="89"/>
      <c r="AH84" s="89"/>
      <c r="AI84" s="26"/>
      <c r="AJ84" s="89"/>
      <c r="AK84" s="26"/>
    </row>
    <row r="85" spans="1:37" ht="12.75">
      <c r="A85" s="28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6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89"/>
      <c r="AA85" s="89"/>
      <c r="AB85" s="25"/>
      <c r="AC85" s="89"/>
      <c r="AD85" s="25"/>
      <c r="AE85" s="89"/>
      <c r="AF85" s="89"/>
      <c r="AH85" s="89"/>
      <c r="AI85" s="26"/>
      <c r="AJ85" s="89"/>
      <c r="AK85" s="26"/>
    </row>
    <row r="86" spans="1:37" s="47" customFormat="1" ht="15.75">
      <c r="A86" s="46">
        <v>71</v>
      </c>
      <c r="C86" s="47" t="s">
        <v>156</v>
      </c>
      <c r="D86" s="15">
        <f>D89+D148+D153+D159+D186</f>
        <v>2678936300</v>
      </c>
      <c r="E86" s="15">
        <f>E89+E148+E153+E159+E186</f>
        <v>2667048867</v>
      </c>
      <c r="F86" s="16">
        <f>E86/D86*100</f>
        <v>99.5562629466031</v>
      </c>
      <c r="G86" s="15">
        <f>G89+G148+G153+G159+G186</f>
        <v>2544552000</v>
      </c>
      <c r="H86" s="15">
        <f>H89+H148+H153+H159+H186</f>
        <v>2501486039.08</v>
      </c>
      <c r="I86" s="16">
        <f>H86/G86*100</f>
        <v>98.30752285981971</v>
      </c>
      <c r="J86" s="15">
        <f>J89+J148+J153+J159+J186</f>
        <v>1276300000</v>
      </c>
      <c r="K86" s="15">
        <f>K89+K148+K153+K159+K186</f>
        <v>2714104600</v>
      </c>
      <c r="L86" s="15">
        <f>L89+L148+L153+L159+L186</f>
        <v>2643675500</v>
      </c>
      <c r="M86" s="15">
        <f>L86-K86</f>
        <v>-70429100</v>
      </c>
      <c r="N86" s="15">
        <f>N89+N148+N153+N159+N186</f>
        <v>2370010385.1499996</v>
      </c>
      <c r="O86" s="16">
        <f>N86/L86*100</f>
        <v>89.6483091495155</v>
      </c>
      <c r="P86" s="15">
        <f>P89+P148+P153+P159+P186</f>
        <v>2625503000</v>
      </c>
      <c r="Q86" s="16">
        <f>P86/H86*100</f>
        <v>104.95773148370684</v>
      </c>
      <c r="R86" s="16">
        <f>P86/L86*100</f>
        <v>99.31260474290434</v>
      </c>
      <c r="S86" s="16">
        <f>P86/N86*100</f>
        <v>110.78023186948313</v>
      </c>
      <c r="T86" s="15">
        <f>T89+T148+T153+T159+T186</f>
        <v>2625503000</v>
      </c>
      <c r="U86" s="15">
        <f>U89+U148+U153+U159+U186</f>
        <v>2848700000</v>
      </c>
      <c r="V86" s="15">
        <f>U86-P86</f>
        <v>223197000</v>
      </c>
      <c r="W86" s="15"/>
      <c r="X86" s="15"/>
      <c r="Y86" s="15">
        <f>Y89+Y148+Y153+Y159+Y186</f>
        <v>188499653.43000004</v>
      </c>
      <c r="Z86" s="91">
        <f t="shared" si="21"/>
        <v>7.179563437177563</v>
      </c>
      <c r="AA86" s="91">
        <f>AA89+AA148+AA153+AA159+AA186</f>
        <v>600000</v>
      </c>
      <c r="AB86" s="15">
        <f>AB89+AB148+AB153+AB159+AB186</f>
        <v>312728496.92</v>
      </c>
      <c r="AC86" s="91">
        <f t="shared" si="22"/>
        <v>11.911184139572493</v>
      </c>
      <c r="AD86" s="15">
        <f>AD89+AD148+AD153+AD159+AD186</f>
        <v>828118037.52</v>
      </c>
      <c r="AE86" s="91">
        <f t="shared" si="23"/>
        <v>31.541309894523067</v>
      </c>
      <c r="AF86" s="91">
        <f>AF89+AF148+AF153+AF159+AF186</f>
        <v>952499658</v>
      </c>
      <c r="AG86" s="15">
        <f>AG89+AG148+AG153+AG159+AG186</f>
        <v>2948975000</v>
      </c>
      <c r="AH86" s="91">
        <f>AH89+AH148+AH153+AH159+AH186</f>
        <v>991257301.3499999</v>
      </c>
      <c r="AI86" s="16">
        <f>+AH86/AG86*100</f>
        <v>33.6136217278885</v>
      </c>
      <c r="AJ86" s="91">
        <f>AJ89+AJ148+AJ153+AJ159+AJ186</f>
        <v>1334693844.15</v>
      </c>
      <c r="AK86" s="16">
        <f t="shared" si="24"/>
        <v>45.25958491170661</v>
      </c>
    </row>
    <row r="87" spans="1:37" ht="12.75">
      <c r="A87" s="28"/>
      <c r="C87" s="29" t="s">
        <v>157</v>
      </c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6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89"/>
      <c r="AA87" s="89"/>
      <c r="AB87" s="25"/>
      <c r="AC87" s="89"/>
      <c r="AD87" s="25"/>
      <c r="AE87" s="89"/>
      <c r="AF87" s="89"/>
      <c r="AH87" s="89"/>
      <c r="AI87" s="26"/>
      <c r="AJ87" s="89"/>
      <c r="AK87" s="26"/>
    </row>
    <row r="88" spans="1:37" ht="12.75" customHeight="1">
      <c r="A88" s="28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6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89"/>
      <c r="AA88" s="89"/>
      <c r="AB88" s="25"/>
      <c r="AC88" s="89"/>
      <c r="AD88" s="25"/>
      <c r="AE88" s="89"/>
      <c r="AF88" s="89"/>
      <c r="AH88" s="89"/>
      <c r="AI88" s="26"/>
      <c r="AJ88" s="89"/>
      <c r="AK88" s="26"/>
    </row>
    <row r="89" spans="1:37" s="31" customFormat="1" ht="12.75">
      <c r="A89" s="30">
        <v>710</v>
      </c>
      <c r="C89" s="31" t="s">
        <v>158</v>
      </c>
      <c r="D89" s="32">
        <f>D97+D108+D113</f>
        <v>1140321800</v>
      </c>
      <c r="E89" s="32">
        <f>E97+E108+E113</f>
        <v>1166682579</v>
      </c>
      <c r="F89" s="22">
        <f>E89/D89*100</f>
        <v>102.3116964877809</v>
      </c>
      <c r="G89" s="32">
        <f>G97+G108+G113</f>
        <v>1153026000</v>
      </c>
      <c r="H89" s="32">
        <f>H91+H97+H108+H113</f>
        <v>1602258442.08</v>
      </c>
      <c r="I89" s="32">
        <f>I91+I97+I108+I113</f>
        <v>206.6074659900285</v>
      </c>
      <c r="J89" s="32">
        <f>J91+J97+J108+J113</f>
        <v>859700000</v>
      </c>
      <c r="K89" s="32">
        <f>K91+K97+K108+K113</f>
        <v>1434277300</v>
      </c>
      <c r="L89" s="32">
        <f>L91+L97+L108+L113</f>
        <v>1681845500</v>
      </c>
      <c r="M89" s="33">
        <f>L89-K89</f>
        <v>247568200</v>
      </c>
      <c r="N89" s="32">
        <f>N91+N97+N108+N113</f>
        <v>1549136804.6</v>
      </c>
      <c r="O89" s="34">
        <f>N89/L89*100</f>
        <v>92.10934087584144</v>
      </c>
      <c r="P89" s="32">
        <f>P91+P97+P108+P113</f>
        <v>1632600000</v>
      </c>
      <c r="Q89" s="22">
        <f>P89/H89*100</f>
        <v>101.8936743987825</v>
      </c>
      <c r="R89" s="22">
        <f>P89/L89*100</f>
        <v>97.07193675043278</v>
      </c>
      <c r="S89" s="22">
        <f>P89/N89*100</f>
        <v>105.38772270803747</v>
      </c>
      <c r="T89" s="32">
        <f>T91+T97+T108+T113</f>
        <v>1636600000</v>
      </c>
      <c r="U89" s="32">
        <f>U91+U97+U108+U113</f>
        <v>1696600000</v>
      </c>
      <c r="V89" s="33">
        <f>U89-P89</f>
        <v>64000000</v>
      </c>
      <c r="W89" s="33"/>
      <c r="X89" s="33"/>
      <c r="Y89" s="32">
        <f>Y91+Y97+Y108+Y113</f>
        <v>153740537.55</v>
      </c>
      <c r="Z89" s="87">
        <f t="shared" si="21"/>
        <v>9.416913974641677</v>
      </c>
      <c r="AA89" s="87">
        <f>AA91+AA97+AA108+AA113</f>
        <v>600000</v>
      </c>
      <c r="AB89" s="32">
        <f>AB91+AB97+AB108+AB113</f>
        <v>239968615.17000002</v>
      </c>
      <c r="AC89" s="87">
        <f t="shared" si="22"/>
        <v>14.698555382212422</v>
      </c>
      <c r="AD89" s="32">
        <f>AD91+AD97+AD108+AD113</f>
        <v>473932907.46000004</v>
      </c>
      <c r="AE89" s="87">
        <f t="shared" si="23"/>
        <v>29.029334035281153</v>
      </c>
      <c r="AF89" s="87">
        <f>AF91+AF97+AF108+AF113</f>
        <v>671014163</v>
      </c>
      <c r="AG89" s="32">
        <f>AG91+AG97+AG108+AG113</f>
        <v>1787875000</v>
      </c>
      <c r="AH89" s="87">
        <f>AH91+AH97+AH108+AH113</f>
        <v>601160673.2800001</v>
      </c>
      <c r="AI89" s="22">
        <f>+AH89/AG89*100</f>
        <v>33.62431228581417</v>
      </c>
      <c r="AJ89" s="87">
        <f>AJ91+AJ97+AJ108+AJ113</f>
        <v>889829543.5800002</v>
      </c>
      <c r="AK89" s="22">
        <f t="shared" si="24"/>
        <v>49.77023245920437</v>
      </c>
    </row>
    <row r="90" spans="1:37" s="31" customFormat="1" ht="12.75">
      <c r="A90" s="30"/>
      <c r="C90" s="31" t="s">
        <v>159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4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87"/>
      <c r="AA90" s="87"/>
      <c r="AB90" s="32"/>
      <c r="AC90" s="87"/>
      <c r="AD90" s="32"/>
      <c r="AE90" s="87"/>
      <c r="AF90" s="87"/>
      <c r="AG90" s="32"/>
      <c r="AH90" s="87"/>
      <c r="AI90" s="34"/>
      <c r="AJ90" s="87"/>
      <c r="AK90" s="34"/>
    </row>
    <row r="91" spans="1:37" s="31" customFormat="1" ht="12.75">
      <c r="A91" s="30">
        <v>7100</v>
      </c>
      <c r="C91" s="31" t="s">
        <v>160</v>
      </c>
      <c r="D91" s="32"/>
      <c r="E91" s="32"/>
      <c r="F91" s="32"/>
      <c r="G91" s="32"/>
      <c r="H91" s="32">
        <f>H92</f>
        <v>26907083.11</v>
      </c>
      <c r="I91" s="32">
        <f>I92</f>
        <v>0</v>
      </c>
      <c r="J91" s="32">
        <f>J92</f>
        <v>0</v>
      </c>
      <c r="K91" s="32">
        <f>K92</f>
        <v>0</v>
      </c>
      <c r="L91" s="32">
        <f>L92</f>
        <v>14272257</v>
      </c>
      <c r="M91" s="33">
        <f>L91-K91</f>
        <v>14272257</v>
      </c>
      <c r="N91" s="32">
        <f>N92</f>
        <v>16344740.25</v>
      </c>
      <c r="O91" s="34">
        <f>N91/L91*100</f>
        <v>114.52106173536534</v>
      </c>
      <c r="P91" s="32">
        <f>P92</f>
        <v>20000000</v>
      </c>
      <c r="Q91" s="22">
        <f>P91/H91*100</f>
        <v>74.32987038482449</v>
      </c>
      <c r="R91" s="22">
        <f>P91/L91*100</f>
        <v>140.13200575073725</v>
      </c>
      <c r="S91" s="22">
        <f>P91/N91*100</f>
        <v>122.36352302998515</v>
      </c>
      <c r="T91" s="32">
        <f>T92</f>
        <v>20000000</v>
      </c>
      <c r="U91" s="32">
        <f>U92</f>
        <v>20000000</v>
      </c>
      <c r="V91" s="33">
        <f aca="true" t="shared" si="29" ref="V91:V123">U91-P91</f>
        <v>0</v>
      </c>
      <c r="W91" s="33"/>
      <c r="X91" s="33"/>
      <c r="Y91" s="32">
        <f>Y92</f>
        <v>0</v>
      </c>
      <c r="Z91" s="87">
        <f t="shared" si="21"/>
        <v>0</v>
      </c>
      <c r="AA91" s="87">
        <f>AA92</f>
        <v>0</v>
      </c>
      <c r="AB91" s="32">
        <f>AB92</f>
        <v>0</v>
      </c>
      <c r="AC91" s="87">
        <f t="shared" si="22"/>
        <v>0</v>
      </c>
      <c r="AD91" s="32">
        <f>AD92</f>
        <v>0</v>
      </c>
      <c r="AE91" s="87">
        <f t="shared" si="23"/>
        <v>0</v>
      </c>
      <c r="AF91" s="87">
        <f>AF92</f>
        <v>14272244</v>
      </c>
      <c r="AG91" s="32">
        <f>AG92</f>
        <v>20000000</v>
      </c>
      <c r="AH91" s="87">
        <f>AH92</f>
        <v>0</v>
      </c>
      <c r="AI91" s="22">
        <f aca="true" t="shared" si="30" ref="AI91:AI105">+AH91/AG91*100</f>
        <v>0</v>
      </c>
      <c r="AJ91" s="87">
        <f>AJ92</f>
        <v>0</v>
      </c>
      <c r="AK91" s="22">
        <f t="shared" si="24"/>
        <v>0</v>
      </c>
    </row>
    <row r="92" spans="1:37" s="36" customFormat="1" ht="12.75" customHeight="1">
      <c r="A92" s="8">
        <v>710000</v>
      </c>
      <c r="C92" s="36" t="s">
        <v>161</v>
      </c>
      <c r="D92" s="37"/>
      <c r="E92" s="37"/>
      <c r="F92" s="37"/>
      <c r="G92" s="37"/>
      <c r="H92" s="37">
        <f>SUM(H93:H94)</f>
        <v>26907083.11</v>
      </c>
      <c r="I92" s="37">
        <f>SUM(I93:I94)</f>
        <v>0</v>
      </c>
      <c r="J92" s="37">
        <f>SUM(J93:J94)</f>
        <v>0</v>
      </c>
      <c r="K92" s="37">
        <f>SUM(K93:K94)</f>
        <v>0</v>
      </c>
      <c r="L92" s="37">
        <f>SUM(L93:L94)</f>
        <v>14272257</v>
      </c>
      <c r="M92" s="37">
        <f>L92-K92</f>
        <v>14272257</v>
      </c>
      <c r="N92" s="37">
        <f>SUM(N93:N96)</f>
        <v>16344740.25</v>
      </c>
      <c r="O92" s="39">
        <f>N92/L92*100</f>
        <v>114.52106173536534</v>
      </c>
      <c r="P92" s="37">
        <f>SUM(P93:P94)</f>
        <v>20000000</v>
      </c>
      <c r="Q92" s="39">
        <f>P92/H92*100</f>
        <v>74.32987038482449</v>
      </c>
      <c r="R92" s="39">
        <f>P92/L92*100</f>
        <v>140.13200575073725</v>
      </c>
      <c r="S92" s="39">
        <f>P92/N92*100</f>
        <v>122.36352302998515</v>
      </c>
      <c r="T92" s="37">
        <f>SUM(T93:T94)</f>
        <v>20000000</v>
      </c>
      <c r="U92" s="37">
        <f>SUM(U93:U94)</f>
        <v>20000000</v>
      </c>
      <c r="V92" s="37">
        <f t="shared" si="29"/>
        <v>0</v>
      </c>
      <c r="W92" s="37"/>
      <c r="X92" s="37"/>
      <c r="Y92" s="37">
        <f>SUM(Y93:Y94)</f>
        <v>0</v>
      </c>
      <c r="Z92" s="88">
        <f t="shared" si="21"/>
        <v>0</v>
      </c>
      <c r="AA92" s="88">
        <f>SUM(AA93:AA94)</f>
        <v>0</v>
      </c>
      <c r="AB92" s="37">
        <f>SUM(AB93:AB94)</f>
        <v>0</v>
      </c>
      <c r="AC92" s="88">
        <f t="shared" si="22"/>
        <v>0</v>
      </c>
      <c r="AD92" s="37">
        <f>SUM(AD93:AD94)</f>
        <v>0</v>
      </c>
      <c r="AE92" s="88">
        <f t="shared" si="23"/>
        <v>0</v>
      </c>
      <c r="AF92" s="88">
        <f>+AF94+AF95</f>
        <v>14272244</v>
      </c>
      <c r="AG92" s="37">
        <f>SUM(AG93:AG94)</f>
        <v>20000000</v>
      </c>
      <c r="AH92" s="88">
        <f>SUM(AH93:AH94)</f>
        <v>0</v>
      </c>
      <c r="AI92" s="39">
        <f t="shared" si="30"/>
        <v>0</v>
      </c>
      <c r="AJ92" s="88">
        <f>SUM(AJ93:AJ94)</f>
        <v>0</v>
      </c>
      <c r="AK92" s="39">
        <f t="shared" si="24"/>
        <v>0</v>
      </c>
    </row>
    <row r="93" spans="1:37" s="43" customFormat="1" ht="12.75" customHeight="1" hidden="1">
      <c r="A93" s="41" t="s">
        <v>162</v>
      </c>
      <c r="B93" s="42"/>
      <c r="C93" s="43" t="s">
        <v>163</v>
      </c>
      <c r="D93" s="44"/>
      <c r="E93" s="44"/>
      <c r="F93" s="44"/>
      <c r="G93" s="44"/>
      <c r="H93" s="44"/>
      <c r="I93" s="44"/>
      <c r="J93" s="44"/>
      <c r="K93" s="44"/>
      <c r="L93" s="44">
        <v>14272257</v>
      </c>
      <c r="M93" s="44">
        <f>L93-K93</f>
        <v>14272257</v>
      </c>
      <c r="N93" s="44">
        <v>14272243.85</v>
      </c>
      <c r="O93" s="45">
        <f>N93/L93*100</f>
        <v>99.99990786320622</v>
      </c>
      <c r="P93" s="44"/>
      <c r="Q93" s="45"/>
      <c r="R93" s="45">
        <f>P93/L93*100</f>
        <v>0</v>
      </c>
      <c r="S93" s="45">
        <f>P93/N93*100</f>
        <v>0</v>
      </c>
      <c r="T93" s="44"/>
      <c r="U93" s="44"/>
      <c r="V93" s="44">
        <f t="shared" si="29"/>
        <v>0</v>
      </c>
      <c r="W93" s="44"/>
      <c r="X93" s="44"/>
      <c r="Y93" s="44">
        <v>0</v>
      </c>
      <c r="Z93" s="90"/>
      <c r="AA93" s="90"/>
      <c r="AB93" s="44">
        <v>0</v>
      </c>
      <c r="AC93" s="90" t="e">
        <f t="shared" si="22"/>
        <v>#DIV/0!</v>
      </c>
      <c r="AD93" s="44">
        <v>0</v>
      </c>
      <c r="AE93" s="90" t="e">
        <f t="shared" si="23"/>
        <v>#DIV/0!</v>
      </c>
      <c r="AF93" s="90"/>
      <c r="AG93" s="44"/>
      <c r="AH93" s="90"/>
      <c r="AI93" s="45" t="e">
        <f t="shared" si="30"/>
        <v>#DIV/0!</v>
      </c>
      <c r="AJ93" s="90"/>
      <c r="AK93" s="45" t="e">
        <f t="shared" si="24"/>
        <v>#DIV/0!</v>
      </c>
    </row>
    <row r="94" spans="1:37" s="43" customFormat="1" ht="11.25">
      <c r="A94" s="41" t="s">
        <v>164</v>
      </c>
      <c r="B94" s="42"/>
      <c r="C94" s="43" t="s">
        <v>165</v>
      </c>
      <c r="D94" s="44"/>
      <c r="E94" s="44"/>
      <c r="F94" s="44"/>
      <c r="G94" s="44"/>
      <c r="H94" s="44">
        <f>2210301.2+22539460.4+1198438.51+958883</f>
        <v>26907083.11</v>
      </c>
      <c r="I94" s="44"/>
      <c r="J94" s="44"/>
      <c r="K94" s="44"/>
      <c r="L94" s="44"/>
      <c r="M94" s="44">
        <f>L94-K94</f>
        <v>0</v>
      </c>
      <c r="N94" s="44"/>
      <c r="O94" s="45"/>
      <c r="P94" s="44">
        <v>20000000</v>
      </c>
      <c r="Q94" s="45">
        <f>P94/H94*100</f>
        <v>74.32987038482449</v>
      </c>
      <c r="R94" s="45"/>
      <c r="S94" s="45"/>
      <c r="T94" s="44">
        <v>20000000</v>
      </c>
      <c r="U94" s="44">
        <v>20000000</v>
      </c>
      <c r="V94" s="44">
        <f t="shared" si="29"/>
        <v>0</v>
      </c>
      <c r="W94" s="44"/>
      <c r="X94" s="44"/>
      <c r="Y94" s="44">
        <v>0</v>
      </c>
      <c r="Z94" s="90">
        <f t="shared" si="21"/>
        <v>0</v>
      </c>
      <c r="AA94" s="90"/>
      <c r="AB94" s="44">
        <v>0</v>
      </c>
      <c r="AC94" s="90">
        <f t="shared" si="22"/>
        <v>0</v>
      </c>
      <c r="AD94" s="44">
        <v>0</v>
      </c>
      <c r="AE94" s="90">
        <f t="shared" si="23"/>
        <v>0</v>
      </c>
      <c r="AF94" s="90"/>
      <c r="AG94" s="44">
        <v>20000000</v>
      </c>
      <c r="AH94" s="90">
        <v>0</v>
      </c>
      <c r="AI94" s="45">
        <f t="shared" si="30"/>
        <v>0</v>
      </c>
      <c r="AJ94" s="90">
        <v>0</v>
      </c>
      <c r="AK94" s="45">
        <f t="shared" si="24"/>
        <v>0</v>
      </c>
    </row>
    <row r="95" spans="1:37" s="43" customFormat="1" ht="11.25">
      <c r="A95" s="41" t="s">
        <v>166</v>
      </c>
      <c r="B95" s="42"/>
      <c r="C95" s="43" t="s">
        <v>167</v>
      </c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>
        <v>1359346.4</v>
      </c>
      <c r="O95" s="45"/>
      <c r="P95" s="44"/>
      <c r="Q95" s="45"/>
      <c r="R95" s="45"/>
      <c r="S95" s="45">
        <f aca="true" t="shared" si="31" ref="S95:S100">P95/N95*100</f>
        <v>0</v>
      </c>
      <c r="T95" s="44"/>
      <c r="U95" s="44"/>
      <c r="V95" s="44">
        <f t="shared" si="29"/>
        <v>0</v>
      </c>
      <c r="W95" s="44"/>
      <c r="X95" s="44"/>
      <c r="Y95" s="44">
        <v>0</v>
      </c>
      <c r="Z95" s="90"/>
      <c r="AA95" s="90"/>
      <c r="AB95" s="44">
        <v>0</v>
      </c>
      <c r="AC95" s="90" t="e">
        <f t="shared" si="22"/>
        <v>#DIV/0!</v>
      </c>
      <c r="AD95" s="44">
        <v>0</v>
      </c>
      <c r="AE95" s="90" t="e">
        <f t="shared" si="23"/>
        <v>#DIV/0!</v>
      </c>
      <c r="AF95" s="90">
        <v>14272244</v>
      </c>
      <c r="AG95" s="44"/>
      <c r="AH95" s="90"/>
      <c r="AI95" s="45" t="e">
        <f t="shared" si="30"/>
        <v>#DIV/0!</v>
      </c>
      <c r="AJ95" s="90"/>
      <c r="AK95" s="45" t="e">
        <f t="shared" si="24"/>
        <v>#DIV/0!</v>
      </c>
    </row>
    <row r="96" spans="1:37" s="43" customFormat="1" ht="11.25" hidden="1">
      <c r="A96" s="41" t="s">
        <v>168</v>
      </c>
      <c r="B96" s="42"/>
      <c r="C96" s="43" t="s">
        <v>169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>
        <v>713150</v>
      </c>
      <c r="O96" s="45"/>
      <c r="P96" s="44"/>
      <c r="Q96" s="45"/>
      <c r="R96" s="45"/>
      <c r="S96" s="45">
        <f t="shared" si="31"/>
        <v>0</v>
      </c>
      <c r="T96" s="44"/>
      <c r="U96" s="44"/>
      <c r="V96" s="44">
        <f t="shared" si="29"/>
        <v>0</v>
      </c>
      <c r="W96" s="44"/>
      <c r="X96" s="44"/>
      <c r="Y96" s="44">
        <v>0</v>
      </c>
      <c r="Z96" s="90"/>
      <c r="AA96" s="90"/>
      <c r="AB96" s="44">
        <v>0</v>
      </c>
      <c r="AC96" s="90" t="e">
        <f t="shared" si="22"/>
        <v>#DIV/0!</v>
      </c>
      <c r="AD96" s="44">
        <v>0</v>
      </c>
      <c r="AE96" s="90" t="e">
        <f t="shared" si="23"/>
        <v>#DIV/0!</v>
      </c>
      <c r="AF96" s="90"/>
      <c r="AG96" s="44"/>
      <c r="AH96" s="90"/>
      <c r="AI96" s="45" t="e">
        <f t="shared" si="30"/>
        <v>#DIV/0!</v>
      </c>
      <c r="AJ96" s="90"/>
      <c r="AK96" s="45" t="e">
        <f t="shared" si="24"/>
        <v>#DIV/0!</v>
      </c>
    </row>
    <row r="97" spans="1:37" s="31" customFormat="1" ht="12.75">
      <c r="A97" s="30">
        <v>7101</v>
      </c>
      <c r="C97" s="31" t="s">
        <v>170</v>
      </c>
      <c r="D97" s="32">
        <f>D98</f>
        <v>141600000</v>
      </c>
      <c r="E97" s="32">
        <f>E98</f>
        <v>101550180</v>
      </c>
      <c r="F97" s="34">
        <f>E97/D97*100</f>
        <v>71.71622881355933</v>
      </c>
      <c r="G97" s="32">
        <f aca="true" t="shared" si="32" ref="G97:L97">G98</f>
        <v>103026000</v>
      </c>
      <c r="H97" s="32">
        <f t="shared" si="32"/>
        <v>82407841</v>
      </c>
      <c r="I97" s="32">
        <f t="shared" si="32"/>
        <v>0</v>
      </c>
      <c r="J97" s="32">
        <f t="shared" si="32"/>
        <v>0</v>
      </c>
      <c r="K97" s="32">
        <f t="shared" si="32"/>
        <v>27077300</v>
      </c>
      <c r="L97" s="32">
        <f t="shared" si="32"/>
        <v>94973243</v>
      </c>
      <c r="M97" s="33">
        <f>L97-K97</f>
        <v>67895943</v>
      </c>
      <c r="N97" s="32">
        <f>N98</f>
        <v>101966516.94999999</v>
      </c>
      <c r="O97" s="34">
        <f>N97/L97*100</f>
        <v>107.36341492519108</v>
      </c>
      <c r="P97" s="32">
        <f>P98</f>
        <v>30000000</v>
      </c>
      <c r="Q97" s="22">
        <f>P97/H97*100</f>
        <v>36.404302838124345</v>
      </c>
      <c r="R97" s="22">
        <f>P97/L97*100</f>
        <v>31.587844167856836</v>
      </c>
      <c r="S97" s="22">
        <f t="shared" si="31"/>
        <v>29.421422734985363</v>
      </c>
      <c r="T97" s="32">
        <f>T98</f>
        <v>30000000</v>
      </c>
      <c r="U97" s="32">
        <f>U98</f>
        <v>30000000</v>
      </c>
      <c r="V97" s="33">
        <f t="shared" si="29"/>
        <v>0</v>
      </c>
      <c r="W97" s="33"/>
      <c r="X97" s="33"/>
      <c r="Y97" s="32">
        <f>Y98</f>
        <v>1032920</v>
      </c>
      <c r="Z97" s="87">
        <f t="shared" si="21"/>
        <v>3.4430666666666667</v>
      </c>
      <c r="AA97" s="87">
        <f>AA98</f>
        <v>0</v>
      </c>
      <c r="AB97" s="32">
        <f>AB98</f>
        <v>1032920</v>
      </c>
      <c r="AC97" s="87">
        <f t="shared" si="22"/>
        <v>3.4430666666666667</v>
      </c>
      <c r="AD97" s="32">
        <f>AD98</f>
        <v>6654715.2</v>
      </c>
      <c r="AE97" s="87">
        <f t="shared" si="23"/>
        <v>22.182384</v>
      </c>
      <c r="AF97" s="87">
        <f>+AF98</f>
        <v>15046580</v>
      </c>
      <c r="AG97" s="32">
        <f>AG98</f>
        <v>30000000</v>
      </c>
      <c r="AH97" s="87">
        <f>AH98</f>
        <v>6654715.2</v>
      </c>
      <c r="AI97" s="22">
        <f t="shared" si="30"/>
        <v>22.182384</v>
      </c>
      <c r="AJ97" s="87">
        <f>AJ98</f>
        <v>29072800.5</v>
      </c>
      <c r="AK97" s="22">
        <f t="shared" si="24"/>
        <v>96.909335</v>
      </c>
    </row>
    <row r="98" spans="1:37" s="36" customFormat="1" ht="12.75" customHeight="1">
      <c r="A98" s="35" t="s">
        <v>171</v>
      </c>
      <c r="C98" s="36" t="s">
        <v>172</v>
      </c>
      <c r="D98" s="37">
        <v>141600000</v>
      </c>
      <c r="E98" s="37">
        <v>101550180</v>
      </c>
      <c r="F98" s="38">
        <f>E98/D98*100</f>
        <v>71.71622881355933</v>
      </c>
      <c r="G98" s="37">
        <v>103026000</v>
      </c>
      <c r="H98" s="37">
        <f>SUM(H99:H106)</f>
        <v>82407841</v>
      </c>
      <c r="I98" s="37">
        <f>SUM(I99:I106)</f>
        <v>0</v>
      </c>
      <c r="J98" s="37">
        <f>SUM(J99:J106)</f>
        <v>0</v>
      </c>
      <c r="K98" s="37">
        <f>SUM(K99:K106)</f>
        <v>27077300</v>
      </c>
      <c r="L98" s="37">
        <f>SUM(L99:L106)</f>
        <v>94973243</v>
      </c>
      <c r="M98" s="37">
        <f>L98-K98</f>
        <v>67895943</v>
      </c>
      <c r="N98" s="37">
        <f>SUM(N99:N106)</f>
        <v>101966516.94999999</v>
      </c>
      <c r="O98" s="39">
        <f>N98/L98*100</f>
        <v>107.36341492519108</v>
      </c>
      <c r="P98" s="37">
        <f>SUM(P99:P106)</f>
        <v>30000000</v>
      </c>
      <c r="Q98" s="39">
        <f>P98/H98*100</f>
        <v>36.404302838124345</v>
      </c>
      <c r="R98" s="39">
        <f>P98/L98*100</f>
        <v>31.587844167856836</v>
      </c>
      <c r="S98" s="39">
        <f t="shared" si="31"/>
        <v>29.421422734985363</v>
      </c>
      <c r="T98" s="37">
        <f>SUM(T99:T106)</f>
        <v>30000000</v>
      </c>
      <c r="U98" s="37">
        <f>SUM(U99:U106)</f>
        <v>30000000</v>
      </c>
      <c r="V98" s="37">
        <f t="shared" si="29"/>
        <v>0</v>
      </c>
      <c r="W98" s="37"/>
      <c r="X98" s="37"/>
      <c r="Y98" s="37">
        <f>+Y99+Y100+Y101+Y102+Y103+Y104+Y105+Y106+Y107</f>
        <v>1032920</v>
      </c>
      <c r="Z98" s="88">
        <f t="shared" si="21"/>
        <v>3.4430666666666667</v>
      </c>
      <c r="AA98" s="88">
        <f>SUM(AA99:AA106)</f>
        <v>0</v>
      </c>
      <c r="AB98" s="37">
        <f>+AB99+AB100+AB101+AB102+AB103+AB104+AB105+AB106+AB107</f>
        <v>1032920</v>
      </c>
      <c r="AC98" s="88">
        <f t="shared" si="22"/>
        <v>3.4430666666666667</v>
      </c>
      <c r="AD98" s="37">
        <f>+AD99+AD100+AD101+AD102+AD103+AD104+AD105+AD106+AD107</f>
        <v>6654715.2</v>
      </c>
      <c r="AE98" s="88">
        <f t="shared" si="23"/>
        <v>22.182384</v>
      </c>
      <c r="AF98" s="88">
        <f>+AF99</f>
        <v>15046580</v>
      </c>
      <c r="AG98" s="37">
        <f>SUM(AG99:AG106)</f>
        <v>30000000</v>
      </c>
      <c r="AH98" s="88">
        <f>SUM(AH99:AH107)</f>
        <v>6654715.2</v>
      </c>
      <c r="AI98" s="39">
        <f t="shared" si="30"/>
        <v>22.182384</v>
      </c>
      <c r="AJ98" s="88">
        <f>SUM(AJ99:AJ107)</f>
        <v>29072800.5</v>
      </c>
      <c r="AK98" s="39">
        <f t="shared" si="24"/>
        <v>96.909335</v>
      </c>
    </row>
    <row r="99" spans="1:37" s="43" customFormat="1" ht="12.75" customHeight="1">
      <c r="A99" s="41" t="s">
        <v>173</v>
      </c>
      <c r="B99" s="42"/>
      <c r="C99" s="43" t="s">
        <v>147</v>
      </c>
      <c r="D99" s="44"/>
      <c r="E99" s="44"/>
      <c r="F99" s="45"/>
      <c r="G99" s="44"/>
      <c r="H99" s="44">
        <f>45139740+16500000</f>
        <v>61639740</v>
      </c>
      <c r="I99" s="45"/>
      <c r="J99" s="44"/>
      <c r="K99" s="44">
        <v>17577300</v>
      </c>
      <c r="L99" s="44">
        <v>49033493</v>
      </c>
      <c r="M99" s="44">
        <f>L99-K99</f>
        <v>31456193</v>
      </c>
      <c r="N99" s="44">
        <v>49033492.5</v>
      </c>
      <c r="O99" s="45">
        <f>N99/L99*100</f>
        <v>99.99999898028884</v>
      </c>
      <c r="P99" s="44">
        <v>15000000</v>
      </c>
      <c r="Q99" s="45">
        <f>P99/H99*100</f>
        <v>24.33495014742113</v>
      </c>
      <c r="R99" s="45">
        <f>P99/L99*100</f>
        <v>30.591334784164776</v>
      </c>
      <c r="S99" s="45">
        <f t="shared" si="31"/>
        <v>30.59133509610803</v>
      </c>
      <c r="T99" s="44">
        <v>15000000</v>
      </c>
      <c r="U99" s="44">
        <v>15000000</v>
      </c>
      <c r="V99" s="44">
        <f t="shared" si="29"/>
        <v>0</v>
      </c>
      <c r="W99" s="44"/>
      <c r="X99" s="44"/>
      <c r="Y99" s="44">
        <v>0</v>
      </c>
      <c r="Z99" s="90">
        <f t="shared" si="21"/>
        <v>0</v>
      </c>
      <c r="AA99" s="90"/>
      <c r="AB99" s="44">
        <v>0</v>
      </c>
      <c r="AC99" s="90">
        <f t="shared" si="22"/>
        <v>0</v>
      </c>
      <c r="AD99" s="44">
        <v>0</v>
      </c>
      <c r="AE99" s="90">
        <f t="shared" si="23"/>
        <v>0</v>
      </c>
      <c r="AF99" s="90">
        <v>15046580</v>
      </c>
      <c r="AG99" s="44">
        <v>15000000</v>
      </c>
      <c r="AH99" s="90">
        <v>0</v>
      </c>
      <c r="AI99" s="45">
        <f t="shared" si="30"/>
        <v>0</v>
      </c>
      <c r="AJ99" s="90">
        <v>0</v>
      </c>
      <c r="AK99" s="45">
        <f t="shared" si="24"/>
        <v>0</v>
      </c>
    </row>
    <row r="100" spans="1:37" s="43" customFormat="1" ht="11.25">
      <c r="A100" s="41" t="s">
        <v>174</v>
      </c>
      <c r="B100" s="42"/>
      <c r="C100" s="43" t="s">
        <v>149</v>
      </c>
      <c r="D100" s="44"/>
      <c r="E100" s="44"/>
      <c r="F100" s="45"/>
      <c r="G100" s="44"/>
      <c r="H100" s="44">
        <f>10074450+5123350</f>
        <v>15197800</v>
      </c>
      <c r="I100" s="45"/>
      <c r="J100" s="44"/>
      <c r="K100" s="44">
        <v>9500000</v>
      </c>
      <c r="L100" s="44">
        <v>43177750</v>
      </c>
      <c r="M100" s="44">
        <f>L100-K100</f>
        <v>33677750</v>
      </c>
      <c r="N100" s="44">
        <v>38514838</v>
      </c>
      <c r="O100" s="45">
        <f>N100/L100*100</f>
        <v>89.20066006218481</v>
      </c>
      <c r="P100" s="44">
        <v>15000000</v>
      </c>
      <c r="Q100" s="45">
        <f>P100/H100*100</f>
        <v>98.69849583492348</v>
      </c>
      <c r="R100" s="45">
        <f>P100/L100*100</f>
        <v>34.740114989780615</v>
      </c>
      <c r="S100" s="45">
        <f t="shared" si="31"/>
        <v>38.946029060280615</v>
      </c>
      <c r="T100" s="44">
        <v>15000000</v>
      </c>
      <c r="U100" s="44">
        <v>15000000</v>
      </c>
      <c r="V100" s="44">
        <f t="shared" si="29"/>
        <v>0</v>
      </c>
      <c r="W100" s="44"/>
      <c r="X100" s="44"/>
      <c r="Y100" s="44">
        <v>0</v>
      </c>
      <c r="Z100" s="90">
        <f t="shared" si="21"/>
        <v>0</v>
      </c>
      <c r="AA100" s="90"/>
      <c r="AB100" s="44">
        <v>0</v>
      </c>
      <c r="AC100" s="90">
        <f t="shared" si="22"/>
        <v>0</v>
      </c>
      <c r="AD100" s="44">
        <v>4662912</v>
      </c>
      <c r="AE100" s="90">
        <f t="shared" si="23"/>
        <v>31.08608</v>
      </c>
      <c r="AF100" s="90"/>
      <c r="AG100" s="44">
        <v>15000000</v>
      </c>
      <c r="AH100" s="90">
        <v>4662912</v>
      </c>
      <c r="AI100" s="45">
        <f t="shared" si="30"/>
        <v>31.08608</v>
      </c>
      <c r="AJ100" s="90">
        <v>27080997.3</v>
      </c>
      <c r="AK100" s="45">
        <f t="shared" si="24"/>
        <v>180.539982</v>
      </c>
    </row>
    <row r="101" spans="1:37" s="43" customFormat="1" ht="11.25" hidden="1">
      <c r="A101" s="41" t="s">
        <v>175</v>
      </c>
      <c r="B101" s="42"/>
      <c r="C101" s="43" t="s">
        <v>145</v>
      </c>
      <c r="D101" s="44"/>
      <c r="E101" s="44"/>
      <c r="F101" s="45"/>
      <c r="G101" s="44"/>
      <c r="H101" s="44">
        <v>3079213</v>
      </c>
      <c r="I101" s="45"/>
      <c r="J101" s="44"/>
      <c r="K101" s="44"/>
      <c r="L101" s="44"/>
      <c r="M101" s="44"/>
      <c r="N101" s="44"/>
      <c r="O101" s="45"/>
      <c r="P101" s="44"/>
      <c r="Q101" s="45">
        <f>P101/H101*100</f>
        <v>0</v>
      </c>
      <c r="R101" s="45"/>
      <c r="S101" s="45"/>
      <c r="T101" s="44"/>
      <c r="U101" s="44"/>
      <c r="V101" s="44">
        <f t="shared" si="29"/>
        <v>0</v>
      </c>
      <c r="W101" s="44"/>
      <c r="X101" s="44"/>
      <c r="Y101" s="44"/>
      <c r="Z101" s="90"/>
      <c r="AA101" s="90"/>
      <c r="AB101" s="44"/>
      <c r="AC101" s="90" t="e">
        <f t="shared" si="22"/>
        <v>#DIV/0!</v>
      </c>
      <c r="AD101" s="44"/>
      <c r="AE101" s="90" t="e">
        <f t="shared" si="23"/>
        <v>#DIV/0!</v>
      </c>
      <c r="AF101" s="90"/>
      <c r="AG101" s="44"/>
      <c r="AH101" s="90"/>
      <c r="AI101" s="45" t="e">
        <f t="shared" si="30"/>
        <v>#DIV/0!</v>
      </c>
      <c r="AJ101" s="90"/>
      <c r="AK101" s="45" t="e">
        <f t="shared" si="24"/>
        <v>#DIV/0!</v>
      </c>
    </row>
    <row r="102" spans="1:37" s="43" customFormat="1" ht="11.25" hidden="1">
      <c r="A102" s="41" t="s">
        <v>176</v>
      </c>
      <c r="B102" s="42"/>
      <c r="C102" s="43" t="s">
        <v>177</v>
      </c>
      <c r="D102" s="44"/>
      <c r="E102" s="44"/>
      <c r="F102" s="45"/>
      <c r="G102" s="44"/>
      <c r="H102" s="44"/>
      <c r="I102" s="45"/>
      <c r="J102" s="44"/>
      <c r="K102" s="44"/>
      <c r="L102" s="44"/>
      <c r="M102" s="44"/>
      <c r="N102" s="44"/>
      <c r="O102" s="45"/>
      <c r="P102" s="44"/>
      <c r="Q102" s="45"/>
      <c r="R102" s="45"/>
      <c r="S102" s="45"/>
      <c r="T102" s="44"/>
      <c r="U102" s="44"/>
      <c r="V102" s="44">
        <f t="shared" si="29"/>
        <v>0</v>
      </c>
      <c r="W102" s="44"/>
      <c r="X102" s="44"/>
      <c r="Y102" s="44"/>
      <c r="Z102" s="90"/>
      <c r="AA102" s="90"/>
      <c r="AB102" s="44"/>
      <c r="AC102" s="90" t="e">
        <f t="shared" si="22"/>
        <v>#DIV/0!</v>
      </c>
      <c r="AD102" s="44"/>
      <c r="AE102" s="90" t="e">
        <f t="shared" si="23"/>
        <v>#DIV/0!</v>
      </c>
      <c r="AF102" s="90"/>
      <c r="AG102" s="44"/>
      <c r="AH102" s="90"/>
      <c r="AI102" s="45" t="e">
        <f t="shared" si="30"/>
        <v>#DIV/0!</v>
      </c>
      <c r="AJ102" s="90"/>
      <c r="AK102" s="45" t="e">
        <f t="shared" si="24"/>
        <v>#DIV/0!</v>
      </c>
    </row>
    <row r="103" spans="1:37" s="43" customFormat="1" ht="11.25" hidden="1">
      <c r="A103" s="41" t="s">
        <v>178</v>
      </c>
      <c r="B103" s="42"/>
      <c r="C103" s="43" t="s">
        <v>179</v>
      </c>
      <c r="D103" s="44"/>
      <c r="E103" s="44"/>
      <c r="F103" s="45"/>
      <c r="G103" s="44"/>
      <c r="H103" s="44">
        <v>2491088</v>
      </c>
      <c r="I103" s="45"/>
      <c r="J103" s="44"/>
      <c r="K103" s="44"/>
      <c r="L103" s="44">
        <v>2762000</v>
      </c>
      <c r="M103" s="44">
        <f>L103-K103</f>
        <v>2762000</v>
      </c>
      <c r="N103" s="44">
        <f>2366204.35+51940</f>
        <v>2418144.35</v>
      </c>
      <c r="O103" s="45">
        <f>N103/L103*100</f>
        <v>87.55048334540189</v>
      </c>
      <c r="P103" s="44"/>
      <c r="Q103" s="45">
        <f>P103/H103*100</f>
        <v>0</v>
      </c>
      <c r="R103" s="45">
        <f>P103/L103*100</f>
        <v>0</v>
      </c>
      <c r="S103" s="45"/>
      <c r="T103" s="44"/>
      <c r="U103" s="44"/>
      <c r="V103" s="44">
        <f t="shared" si="29"/>
        <v>0</v>
      </c>
      <c r="W103" s="44"/>
      <c r="X103" s="44"/>
      <c r="Y103" s="44"/>
      <c r="Z103" s="90"/>
      <c r="AA103" s="90"/>
      <c r="AB103" s="44"/>
      <c r="AC103" s="90" t="e">
        <f t="shared" si="22"/>
        <v>#DIV/0!</v>
      </c>
      <c r="AD103" s="44"/>
      <c r="AE103" s="90" t="e">
        <f t="shared" si="23"/>
        <v>#DIV/0!</v>
      </c>
      <c r="AF103" s="90"/>
      <c r="AG103" s="44"/>
      <c r="AH103" s="90"/>
      <c r="AI103" s="45" t="e">
        <f t="shared" si="30"/>
        <v>#DIV/0!</v>
      </c>
      <c r="AJ103" s="90"/>
      <c r="AK103" s="45" t="e">
        <f t="shared" si="24"/>
        <v>#DIV/0!</v>
      </c>
    </row>
    <row r="104" spans="1:37" s="43" customFormat="1" ht="11.25" hidden="1">
      <c r="A104" s="41" t="s">
        <v>180</v>
      </c>
      <c r="B104" s="42"/>
      <c r="C104" s="43" t="s">
        <v>181</v>
      </c>
      <c r="D104" s="44"/>
      <c r="E104" s="44"/>
      <c r="F104" s="45"/>
      <c r="G104" s="44"/>
      <c r="H104" s="44"/>
      <c r="I104" s="45"/>
      <c r="J104" s="44"/>
      <c r="K104" s="44"/>
      <c r="L104" s="44"/>
      <c r="M104" s="44"/>
      <c r="N104" s="44"/>
      <c r="O104" s="45"/>
      <c r="P104" s="44"/>
      <c r="Q104" s="44"/>
      <c r="R104" s="44"/>
      <c r="S104" s="44"/>
      <c r="T104" s="44"/>
      <c r="U104" s="44"/>
      <c r="V104" s="44">
        <f t="shared" si="29"/>
        <v>0</v>
      </c>
      <c r="W104" s="44"/>
      <c r="X104" s="44"/>
      <c r="Y104" s="44"/>
      <c r="Z104" s="90"/>
      <c r="AA104" s="90"/>
      <c r="AB104" s="44"/>
      <c r="AC104" s="90" t="e">
        <f t="shared" si="22"/>
        <v>#DIV/0!</v>
      </c>
      <c r="AD104" s="44"/>
      <c r="AE104" s="90" t="e">
        <f t="shared" si="23"/>
        <v>#DIV/0!</v>
      </c>
      <c r="AF104" s="90"/>
      <c r="AG104" s="44"/>
      <c r="AH104" s="90"/>
      <c r="AI104" s="45" t="e">
        <f t="shared" si="30"/>
        <v>#DIV/0!</v>
      </c>
      <c r="AJ104" s="90"/>
      <c r="AK104" s="45" t="e">
        <f t="shared" si="24"/>
        <v>#DIV/0!</v>
      </c>
    </row>
    <row r="105" spans="1:37" s="43" customFormat="1" ht="11.25" hidden="1">
      <c r="A105" s="41" t="s">
        <v>182</v>
      </c>
      <c r="B105" s="42"/>
      <c r="C105" s="43" t="s">
        <v>183</v>
      </c>
      <c r="D105" s="44"/>
      <c r="E105" s="44"/>
      <c r="F105" s="45"/>
      <c r="G105" s="44"/>
      <c r="H105" s="44"/>
      <c r="I105" s="45"/>
      <c r="J105" s="44"/>
      <c r="K105" s="44"/>
      <c r="L105" s="44"/>
      <c r="M105" s="44"/>
      <c r="N105" s="44">
        <v>12000042.1</v>
      </c>
      <c r="O105" s="45"/>
      <c r="P105" s="44"/>
      <c r="Q105" s="44"/>
      <c r="R105" s="44"/>
      <c r="S105" s="44"/>
      <c r="T105" s="44"/>
      <c r="U105" s="44"/>
      <c r="V105" s="44">
        <f t="shared" si="29"/>
        <v>0</v>
      </c>
      <c r="W105" s="44"/>
      <c r="X105" s="44"/>
      <c r="Y105" s="44"/>
      <c r="Z105" s="90"/>
      <c r="AA105" s="90"/>
      <c r="AB105" s="44"/>
      <c r="AC105" s="90" t="e">
        <f t="shared" si="22"/>
        <v>#DIV/0!</v>
      </c>
      <c r="AD105" s="44"/>
      <c r="AE105" s="90" t="e">
        <f t="shared" si="23"/>
        <v>#DIV/0!</v>
      </c>
      <c r="AF105" s="90"/>
      <c r="AG105" s="44"/>
      <c r="AH105" s="90"/>
      <c r="AI105" s="45" t="e">
        <f t="shared" si="30"/>
        <v>#DIV/0!</v>
      </c>
      <c r="AJ105" s="90"/>
      <c r="AK105" s="45" t="e">
        <f t="shared" si="24"/>
        <v>#DIV/0!</v>
      </c>
    </row>
    <row r="106" spans="1:37" s="43" customFormat="1" ht="11.25">
      <c r="A106" s="41" t="s">
        <v>184</v>
      </c>
      <c r="B106" s="42"/>
      <c r="C106" s="43" t="s">
        <v>185</v>
      </c>
      <c r="D106" s="44"/>
      <c r="E106" s="44"/>
      <c r="F106" s="45"/>
      <c r="G106" s="44"/>
      <c r="H106" s="44"/>
      <c r="I106" s="45"/>
      <c r="J106" s="44"/>
      <c r="K106" s="44"/>
      <c r="L106" s="44"/>
      <c r="M106" s="44"/>
      <c r="N106" s="44"/>
      <c r="O106" s="45"/>
      <c r="P106" s="44"/>
      <c r="Q106" s="44"/>
      <c r="R106" s="44"/>
      <c r="S106" s="44"/>
      <c r="T106" s="44"/>
      <c r="U106" s="44"/>
      <c r="V106" s="44">
        <f t="shared" si="29"/>
        <v>0</v>
      </c>
      <c r="W106" s="44"/>
      <c r="X106" s="44"/>
      <c r="Y106" s="44"/>
      <c r="Z106" s="90"/>
      <c r="AA106" s="90"/>
      <c r="AB106" s="44"/>
      <c r="AC106" s="90" t="e">
        <f t="shared" si="22"/>
        <v>#DIV/0!</v>
      </c>
      <c r="AD106" s="44">
        <v>958883.2</v>
      </c>
      <c r="AE106" s="90"/>
      <c r="AF106" s="90"/>
      <c r="AG106" s="44"/>
      <c r="AH106" s="90">
        <v>958883.2</v>
      </c>
      <c r="AI106" s="45"/>
      <c r="AJ106" s="90">
        <v>958883.2</v>
      </c>
      <c r="AK106" s="45"/>
    </row>
    <row r="107" spans="1:37" s="43" customFormat="1" ht="11.25">
      <c r="A107" s="41" t="s">
        <v>584</v>
      </c>
      <c r="B107" s="42"/>
      <c r="C107" s="43" t="s">
        <v>586</v>
      </c>
      <c r="D107" s="44"/>
      <c r="E107" s="44"/>
      <c r="F107" s="45"/>
      <c r="G107" s="44"/>
      <c r="H107" s="44"/>
      <c r="I107" s="45"/>
      <c r="J107" s="44"/>
      <c r="K107" s="44"/>
      <c r="L107" s="44"/>
      <c r="M107" s="44"/>
      <c r="N107" s="44"/>
      <c r="O107" s="45"/>
      <c r="P107" s="44"/>
      <c r="Q107" s="44"/>
      <c r="R107" s="44"/>
      <c r="S107" s="44"/>
      <c r="T107" s="44"/>
      <c r="U107" s="44"/>
      <c r="V107" s="44"/>
      <c r="W107" s="44"/>
      <c r="X107" s="44"/>
      <c r="Y107" s="44">
        <v>1032920</v>
      </c>
      <c r="Z107" s="90"/>
      <c r="AA107" s="90"/>
      <c r="AB107" s="44">
        <v>1032920</v>
      </c>
      <c r="AC107" s="90"/>
      <c r="AD107" s="44">
        <v>1032920</v>
      </c>
      <c r="AE107" s="90"/>
      <c r="AF107" s="90"/>
      <c r="AG107" s="44"/>
      <c r="AH107" s="90">
        <v>1032920</v>
      </c>
      <c r="AI107" s="45"/>
      <c r="AJ107" s="90">
        <v>1032920</v>
      </c>
      <c r="AK107" s="45"/>
    </row>
    <row r="108" spans="1:37" s="31" customFormat="1" ht="12.75">
      <c r="A108" s="30">
        <v>7102</v>
      </c>
      <c r="C108" s="31" t="s">
        <v>186</v>
      </c>
      <c r="D108" s="32">
        <f>32221800+14000000</f>
        <v>46221800</v>
      </c>
      <c r="E108" s="32">
        <v>77184121</v>
      </c>
      <c r="F108" s="34">
        <f>E108/D108*100</f>
        <v>166.986402520023</v>
      </c>
      <c r="G108" s="32">
        <v>96000000</v>
      </c>
      <c r="H108" s="32">
        <f>SUM(H109:H111)</f>
        <v>89811657.97</v>
      </c>
      <c r="I108" s="32">
        <f>SUM(I109:I111)</f>
        <v>0</v>
      </c>
      <c r="J108" s="32">
        <f>SUM(J109:J111)</f>
        <v>0</v>
      </c>
      <c r="K108" s="32">
        <f>SUM(K109:K111)</f>
        <v>45000000</v>
      </c>
      <c r="L108" s="32">
        <f>SUM(L109:L111)</f>
        <v>56000000</v>
      </c>
      <c r="M108" s="33">
        <f>L108-K108</f>
        <v>11000000</v>
      </c>
      <c r="N108" s="32">
        <f>SUM(N109:N111)</f>
        <v>96814144.92</v>
      </c>
      <c r="O108" s="34">
        <f>N108/L108*100</f>
        <v>172.88240164285716</v>
      </c>
      <c r="P108" s="32">
        <f>SUM(P109:P111)</f>
        <v>61000000</v>
      </c>
      <c r="Q108" s="22">
        <f>P108/H108*100</f>
        <v>67.91991304778715</v>
      </c>
      <c r="R108" s="22">
        <f>P108/L108*100</f>
        <v>108.92857142857142</v>
      </c>
      <c r="S108" s="22">
        <f>P108/N108*100</f>
        <v>63.00732196767926</v>
      </c>
      <c r="T108" s="32">
        <f>SUM(T109:T111)</f>
        <v>61000000</v>
      </c>
      <c r="U108" s="32">
        <f>SUM(U109:U111)</f>
        <v>61000000</v>
      </c>
      <c r="V108" s="33">
        <f t="shared" si="29"/>
        <v>0</v>
      </c>
      <c r="W108" s="33"/>
      <c r="X108" s="33"/>
      <c r="Y108" s="32">
        <f>SUM(Y109:Y111)</f>
        <v>355235.9</v>
      </c>
      <c r="Z108" s="87">
        <f t="shared" si="21"/>
        <v>0.5823539344262296</v>
      </c>
      <c r="AA108" s="87">
        <f>SUM(AA109:AA111)</f>
        <v>0</v>
      </c>
      <c r="AB108" s="32">
        <f>SUM(AB109:AB111)</f>
        <v>8450185.6</v>
      </c>
      <c r="AC108" s="87">
        <f t="shared" si="22"/>
        <v>13.852763278688524</v>
      </c>
      <c r="AD108" s="32">
        <f>SUM(AD109:AD111)</f>
        <v>43796956.06</v>
      </c>
      <c r="AE108" s="87">
        <f t="shared" si="23"/>
        <v>71.79828862295082</v>
      </c>
      <c r="AF108" s="87">
        <f>+AF110</f>
        <v>31396055</v>
      </c>
      <c r="AG108" s="32">
        <f>SUM(AG109:AG111)</f>
        <v>138000000</v>
      </c>
      <c r="AH108" s="87">
        <f>SUM(AH109:AH111)</f>
        <v>54980085.14</v>
      </c>
      <c r="AI108" s="22">
        <f aca="true" t="shared" si="33" ref="AI108:AI124">+AH108/AG108*100</f>
        <v>39.8406414057971</v>
      </c>
      <c r="AJ108" s="87">
        <f>SUM(AJ109:AJ111)</f>
        <v>169465709.34</v>
      </c>
      <c r="AK108" s="22">
        <f t="shared" si="24"/>
        <v>122.80123865217392</v>
      </c>
    </row>
    <row r="109" spans="1:37" s="36" customFormat="1" ht="12.75" customHeight="1">
      <c r="A109" s="35" t="s">
        <v>187</v>
      </c>
      <c r="C109" s="36" t="s">
        <v>188</v>
      </c>
      <c r="D109" s="37"/>
      <c r="E109" s="37"/>
      <c r="F109" s="39"/>
      <c r="G109" s="37"/>
      <c r="H109" s="37">
        <v>2765788.37</v>
      </c>
      <c r="I109" s="39"/>
      <c r="J109" s="37"/>
      <c r="K109" s="37">
        <v>500000</v>
      </c>
      <c r="L109" s="37">
        <v>1000000</v>
      </c>
      <c r="M109" s="37">
        <f>L109-K109</f>
        <v>500000</v>
      </c>
      <c r="N109" s="37">
        <v>1477188.66</v>
      </c>
      <c r="O109" s="39">
        <f>N109/L109*100</f>
        <v>147.718866</v>
      </c>
      <c r="P109" s="37">
        <v>1000000</v>
      </c>
      <c r="Q109" s="39">
        <f>P109/H109*100</f>
        <v>36.15605629291152</v>
      </c>
      <c r="R109" s="39">
        <f>P109/L109*100</f>
        <v>100</v>
      </c>
      <c r="S109" s="39">
        <f>P109/N109*100</f>
        <v>67.69616008289692</v>
      </c>
      <c r="T109" s="37">
        <v>1000000</v>
      </c>
      <c r="U109" s="37">
        <v>1000000</v>
      </c>
      <c r="V109" s="37">
        <f t="shared" si="29"/>
        <v>0</v>
      </c>
      <c r="W109" s="37"/>
      <c r="X109" s="37"/>
      <c r="Y109" s="37">
        <v>355235.9</v>
      </c>
      <c r="Z109" s="88">
        <f t="shared" si="21"/>
        <v>35.523590000000006</v>
      </c>
      <c r="AA109" s="88"/>
      <c r="AB109" s="37">
        <v>355235.9</v>
      </c>
      <c r="AC109" s="88">
        <f t="shared" si="22"/>
        <v>35.523590000000006</v>
      </c>
      <c r="AD109" s="37">
        <v>580694.46</v>
      </c>
      <c r="AE109" s="88">
        <f t="shared" si="23"/>
        <v>58.06944599999999</v>
      </c>
      <c r="AF109" s="88"/>
      <c r="AG109" s="37">
        <v>1000000</v>
      </c>
      <c r="AH109" s="88">
        <v>608757.04</v>
      </c>
      <c r="AI109" s="39">
        <f t="shared" si="33"/>
        <v>60.875704000000006</v>
      </c>
      <c r="AJ109" s="88">
        <v>608757.04</v>
      </c>
      <c r="AK109" s="39">
        <f t="shared" si="24"/>
        <v>60.875704000000006</v>
      </c>
    </row>
    <row r="110" spans="1:37" s="36" customFormat="1" ht="12.75" customHeight="1">
      <c r="A110" s="35" t="s">
        <v>189</v>
      </c>
      <c r="C110" s="36" t="s">
        <v>190</v>
      </c>
      <c r="D110" s="37"/>
      <c r="E110" s="37"/>
      <c r="F110" s="39"/>
      <c r="G110" s="37"/>
      <c r="H110" s="37">
        <f>89811657.97-2765788.37</f>
        <v>87045869.6</v>
      </c>
      <c r="I110" s="39"/>
      <c r="J110" s="37"/>
      <c r="K110" s="37">
        <v>44500000</v>
      </c>
      <c r="L110" s="37">
        <v>55000000</v>
      </c>
      <c r="M110" s="37">
        <f>L110-K110</f>
        <v>10500000</v>
      </c>
      <c r="N110" s="37">
        <v>95336956.26</v>
      </c>
      <c r="O110" s="39">
        <f>N110/L110*100</f>
        <v>173.33992047272727</v>
      </c>
      <c r="P110" s="37">
        <v>60000000</v>
      </c>
      <c r="Q110" s="39">
        <f>P110/H110*100</f>
        <v>68.92917524486424</v>
      </c>
      <c r="R110" s="39">
        <f>P110/L110*100</f>
        <v>109.09090909090908</v>
      </c>
      <c r="S110" s="39">
        <f>P110/N110*100</f>
        <v>62.934671247915496</v>
      </c>
      <c r="T110" s="37">
        <v>60000000</v>
      </c>
      <c r="U110" s="37">
        <v>60000000</v>
      </c>
      <c r="V110" s="37">
        <f t="shared" si="29"/>
        <v>0</v>
      </c>
      <c r="W110" s="37"/>
      <c r="X110" s="37"/>
      <c r="Y110" s="37">
        <v>0</v>
      </c>
      <c r="Z110" s="88">
        <f t="shared" si="21"/>
        <v>0</v>
      </c>
      <c r="AA110" s="88"/>
      <c r="AB110" s="37">
        <v>8094949.7</v>
      </c>
      <c r="AC110" s="88">
        <f t="shared" si="22"/>
        <v>13.491582833333334</v>
      </c>
      <c r="AD110" s="37">
        <v>43216261.6</v>
      </c>
      <c r="AE110" s="88">
        <f t="shared" si="23"/>
        <v>72.02710266666666</v>
      </c>
      <c r="AF110" s="88">
        <v>31396055</v>
      </c>
      <c r="AG110" s="37">
        <v>108000000</v>
      </c>
      <c r="AH110" s="88">
        <v>54371328.1</v>
      </c>
      <c r="AI110" s="39">
        <f t="shared" si="33"/>
        <v>50.343822314814815</v>
      </c>
      <c r="AJ110" s="88">
        <v>168856952.3</v>
      </c>
      <c r="AK110" s="39">
        <f t="shared" si="24"/>
        <v>156.3490299074074</v>
      </c>
    </row>
    <row r="111" spans="1:37" s="36" customFormat="1" ht="12.75" customHeight="1">
      <c r="A111" s="35" t="s">
        <v>602</v>
      </c>
      <c r="C111" s="36" t="s">
        <v>601</v>
      </c>
      <c r="D111" s="37"/>
      <c r="E111" s="37"/>
      <c r="F111" s="39"/>
      <c r="G111" s="37"/>
      <c r="H111" s="37"/>
      <c r="I111" s="39"/>
      <c r="J111" s="37"/>
      <c r="K111" s="37"/>
      <c r="L111" s="37"/>
      <c r="M111" s="37"/>
      <c r="N111" s="37"/>
      <c r="O111" s="39"/>
      <c r="P111" s="37"/>
      <c r="Q111" s="37"/>
      <c r="R111" s="37"/>
      <c r="S111" s="37"/>
      <c r="T111" s="37"/>
      <c r="U111" s="37"/>
      <c r="V111" s="37">
        <f t="shared" si="29"/>
        <v>0</v>
      </c>
      <c r="W111" s="37"/>
      <c r="X111" s="37"/>
      <c r="Y111" s="37"/>
      <c r="Z111" s="88"/>
      <c r="AA111" s="88"/>
      <c r="AB111" s="37"/>
      <c r="AC111" s="88" t="e">
        <f t="shared" si="22"/>
        <v>#DIV/0!</v>
      </c>
      <c r="AD111" s="37"/>
      <c r="AE111" s="88" t="e">
        <f t="shared" si="23"/>
        <v>#DIV/0!</v>
      </c>
      <c r="AF111" s="88"/>
      <c r="AG111" s="37">
        <v>29000000</v>
      </c>
      <c r="AH111" s="88">
        <v>0</v>
      </c>
      <c r="AI111" s="39">
        <f t="shared" si="33"/>
        <v>0</v>
      </c>
      <c r="AJ111" s="88">
        <v>0</v>
      </c>
      <c r="AK111" s="39">
        <f t="shared" si="24"/>
        <v>0</v>
      </c>
    </row>
    <row r="112" spans="1:37" s="36" customFormat="1" ht="12.75" customHeight="1" hidden="1">
      <c r="A112" s="35">
        <v>710210</v>
      </c>
      <c r="C112" s="36" t="s">
        <v>191</v>
      </c>
      <c r="D112" s="37"/>
      <c r="E112" s="37"/>
      <c r="F112" s="39"/>
      <c r="G112" s="37"/>
      <c r="H112" s="37"/>
      <c r="I112" s="39"/>
      <c r="J112" s="37"/>
      <c r="K112" s="37"/>
      <c r="L112" s="37"/>
      <c r="M112" s="37"/>
      <c r="N112" s="37"/>
      <c r="O112" s="39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88"/>
      <c r="AA112" s="88"/>
      <c r="AB112" s="37"/>
      <c r="AC112" s="88"/>
      <c r="AD112" s="37"/>
      <c r="AE112" s="88"/>
      <c r="AF112" s="88"/>
      <c r="AG112" s="37"/>
      <c r="AH112" s="88"/>
      <c r="AI112" s="39" t="e">
        <f t="shared" si="33"/>
        <v>#DIV/0!</v>
      </c>
      <c r="AJ112" s="88"/>
      <c r="AK112" s="39" t="e">
        <f t="shared" si="24"/>
        <v>#DIV/0!</v>
      </c>
    </row>
    <row r="113" spans="1:37" s="31" customFormat="1" ht="12.75">
      <c r="A113" s="30">
        <v>7103</v>
      </c>
      <c r="C113" s="31" t="s">
        <v>192</v>
      </c>
      <c r="D113" s="32">
        <f>SUM(D114:D143)</f>
        <v>952500000</v>
      </c>
      <c r="E113" s="32">
        <f>SUM(E114:E143)</f>
        <v>987948278</v>
      </c>
      <c r="F113" s="34">
        <f>E113/D113*100</f>
        <v>103.72160398950132</v>
      </c>
      <c r="G113" s="32">
        <f>SUM(G114:G143)</f>
        <v>954000000</v>
      </c>
      <c r="H113" s="32">
        <f>SUM(H114:H116)+H128+H129+H143</f>
        <v>1403131860</v>
      </c>
      <c r="I113" s="32">
        <f>SUM(I114:I116)+I128+I129+I143</f>
        <v>206.6074659900285</v>
      </c>
      <c r="J113" s="32">
        <f>SUM(J114:J116)+J128+J129+J143</f>
        <v>859700000</v>
      </c>
      <c r="K113" s="32">
        <f>SUM(K114:K116)+K128+K129+K143</f>
        <v>1362200000</v>
      </c>
      <c r="L113" s="32">
        <f>SUM(L114:L116)+L128+L129+L143</f>
        <v>1516600000</v>
      </c>
      <c r="M113" s="33">
        <f aca="true" t="shared" si="34" ref="M113:M125">L113-K113</f>
        <v>154400000</v>
      </c>
      <c r="N113" s="32">
        <f>SUM(N114:N116)+N128+N129+N141+N142+N143</f>
        <v>1334011402.48</v>
      </c>
      <c r="O113" s="34">
        <f aca="true" t="shared" si="35" ref="O113:O122">N113/L113*100</f>
        <v>87.96066217064487</v>
      </c>
      <c r="P113" s="32">
        <f>SUM(P114:P116)+P128+P129+P141+P142+P143</f>
        <v>1521600000</v>
      </c>
      <c r="Q113" s="32">
        <f aca="true" t="shared" si="36" ref="Q113:AG113">SUM(Q114:Q116)+Q128+Q129+Q141+Q142+Q143</f>
        <v>1322.5833978331418</v>
      </c>
      <c r="R113" s="32">
        <f t="shared" si="36"/>
        <v>968.193509064731</v>
      </c>
      <c r="S113" s="32">
        <f t="shared" si="36"/>
        <v>1065.9033209511053</v>
      </c>
      <c r="T113" s="32">
        <f t="shared" si="36"/>
        <v>1525600000</v>
      </c>
      <c r="U113" s="32">
        <f t="shared" si="36"/>
        <v>1585600000</v>
      </c>
      <c r="V113" s="32">
        <f t="shared" si="36"/>
        <v>64000000</v>
      </c>
      <c r="W113" s="32">
        <f t="shared" si="36"/>
        <v>3000000</v>
      </c>
      <c r="X113" s="32">
        <f t="shared" si="36"/>
        <v>0</v>
      </c>
      <c r="Y113" s="32">
        <f t="shared" si="36"/>
        <v>152352381.65</v>
      </c>
      <c r="Z113" s="32">
        <f t="shared" si="36"/>
        <v>127.12350658441716</v>
      </c>
      <c r="AA113" s="32">
        <f t="shared" si="36"/>
        <v>600000</v>
      </c>
      <c r="AB113" s="32">
        <f t="shared" si="36"/>
        <v>230485509.57000002</v>
      </c>
      <c r="AC113" s="32" t="e">
        <f t="shared" si="36"/>
        <v>#DIV/0!</v>
      </c>
      <c r="AD113" s="32">
        <f t="shared" si="36"/>
        <v>423481236.20000005</v>
      </c>
      <c r="AE113" s="32" t="e">
        <f t="shared" si="36"/>
        <v>#DIV/0!</v>
      </c>
      <c r="AF113" s="87">
        <f>SUM(AF114:AF116)+AF128+AF129+AF141+AF142+AF143</f>
        <v>610299284</v>
      </c>
      <c r="AG113" s="32">
        <f t="shared" si="36"/>
        <v>1599875000</v>
      </c>
      <c r="AH113" s="87">
        <f>SUM(AH114:AH116)+AH128+AH129+AH141+AH142+AH143</f>
        <v>539525872.94</v>
      </c>
      <c r="AI113" s="34">
        <f t="shared" si="33"/>
        <v>33.723001668255336</v>
      </c>
      <c r="AJ113" s="87">
        <f>SUM(AJ114:AJ116)+AJ128+AJ129+AJ141+AJ142+AJ143</f>
        <v>691291033.7400001</v>
      </c>
      <c r="AK113" s="34">
        <f t="shared" si="24"/>
        <v>43.2090653169779</v>
      </c>
    </row>
    <row r="114" spans="1:37" s="36" customFormat="1" ht="12.75" customHeight="1">
      <c r="A114" s="35" t="s">
        <v>193</v>
      </c>
      <c r="C114" s="36" t="s">
        <v>194</v>
      </c>
      <c r="D114" s="37">
        <v>532500000</v>
      </c>
      <c r="E114" s="37">
        <v>567246238</v>
      </c>
      <c r="F114" s="38">
        <f>E114/D114*100</f>
        <v>106.52511511737089</v>
      </c>
      <c r="G114" s="37">
        <v>520000000</v>
      </c>
      <c r="H114" s="37">
        <v>528943515</v>
      </c>
      <c r="I114" s="38">
        <f>H114/G114*100</f>
        <v>101.71990673076922</v>
      </c>
      <c r="J114" s="37">
        <v>500000000</v>
      </c>
      <c r="K114" s="37">
        <f>500000000+9000000</f>
        <v>509000000</v>
      </c>
      <c r="L114" s="37">
        <f>500000000+2000000</f>
        <v>502000000</v>
      </c>
      <c r="M114" s="37">
        <f t="shared" si="34"/>
        <v>-7000000</v>
      </c>
      <c r="N114" s="37">
        <f>500385354.81-496422.34</f>
        <v>499888932.47</v>
      </c>
      <c r="O114" s="39">
        <f t="shared" si="35"/>
        <v>99.57946861952192</v>
      </c>
      <c r="P114" s="37">
        <v>490000000</v>
      </c>
      <c r="Q114" s="39">
        <f>P114/H114*100</f>
        <v>92.63749079143167</v>
      </c>
      <c r="R114" s="39">
        <f aca="true" t="shared" si="37" ref="R114:R125">P114/L114*100</f>
        <v>97.60956175298804</v>
      </c>
      <c r="S114" s="39">
        <f aca="true" t="shared" si="38" ref="S114:S122">P114/N114*100</f>
        <v>98.02177407266494</v>
      </c>
      <c r="T114" s="37">
        <f>490000000+9000000</f>
        <v>499000000</v>
      </c>
      <c r="U114" s="37">
        <f>490000000+9000000+3000000</f>
        <v>502000000</v>
      </c>
      <c r="V114" s="37">
        <f t="shared" si="29"/>
        <v>12000000</v>
      </c>
      <c r="W114" s="37">
        <v>3000000</v>
      </c>
      <c r="X114" s="37"/>
      <c r="Y114" s="37">
        <v>38477742.59</v>
      </c>
      <c r="Z114" s="88">
        <f t="shared" si="21"/>
        <v>7.852600528571429</v>
      </c>
      <c r="AA114" s="88"/>
      <c r="AB114" s="37">
        <v>74208995.58</v>
      </c>
      <c r="AC114" s="88">
        <f t="shared" si="22"/>
        <v>15.144692975510205</v>
      </c>
      <c r="AD114" s="37">
        <v>151433788.97</v>
      </c>
      <c r="AE114" s="88">
        <f t="shared" si="23"/>
        <v>30.904854891836735</v>
      </c>
      <c r="AF114" s="88">
        <v>221724723</v>
      </c>
      <c r="AG114" s="37">
        <v>493000000</v>
      </c>
      <c r="AH114" s="88">
        <v>202922880.71</v>
      </c>
      <c r="AI114" s="39">
        <f t="shared" si="33"/>
        <v>41.160827730223126</v>
      </c>
      <c r="AJ114" s="88">
        <v>248687001.43</v>
      </c>
      <c r="AK114" s="39">
        <f t="shared" si="24"/>
        <v>50.443610837728194</v>
      </c>
    </row>
    <row r="115" spans="1:37" s="36" customFormat="1" ht="12.75" customHeight="1">
      <c r="A115" s="35" t="s">
        <v>195</v>
      </c>
      <c r="C115" s="36" t="s">
        <v>196</v>
      </c>
      <c r="D115" s="37">
        <v>320000000</v>
      </c>
      <c r="E115" s="37">
        <v>326374787</v>
      </c>
      <c r="F115" s="38">
        <f>E115/D115*100</f>
        <v>101.9921209375</v>
      </c>
      <c r="G115" s="37">
        <v>324000000</v>
      </c>
      <c r="H115" s="37">
        <v>339835692</v>
      </c>
      <c r="I115" s="38">
        <f>H115/G115*100</f>
        <v>104.88755925925926</v>
      </c>
      <c r="J115" s="37">
        <f>374700000-15000000</f>
        <v>359700000</v>
      </c>
      <c r="K115" s="37">
        <f>374700000-15000000</f>
        <v>359700000</v>
      </c>
      <c r="L115" s="37">
        <v>360000000</v>
      </c>
      <c r="M115" s="37">
        <f t="shared" si="34"/>
        <v>300000</v>
      </c>
      <c r="N115" s="37">
        <v>365104153.55</v>
      </c>
      <c r="O115" s="39">
        <f t="shared" si="35"/>
        <v>101.41782043055557</v>
      </c>
      <c r="P115" s="37">
        <v>407000000</v>
      </c>
      <c r="Q115" s="39">
        <f>P115/H115*100</f>
        <v>119.76375924633602</v>
      </c>
      <c r="R115" s="39">
        <f t="shared" si="37"/>
        <v>113.05555555555556</v>
      </c>
      <c r="S115" s="39">
        <f t="shared" si="38"/>
        <v>111.47503966817031</v>
      </c>
      <c r="T115" s="37">
        <v>407000000</v>
      </c>
      <c r="U115" s="37">
        <v>407000000</v>
      </c>
      <c r="V115" s="37">
        <f t="shared" si="29"/>
        <v>0</v>
      </c>
      <c r="W115" s="37"/>
      <c r="X115" s="37"/>
      <c r="Y115" s="37">
        <v>29499892.8</v>
      </c>
      <c r="Z115" s="88">
        <f t="shared" si="21"/>
        <v>7.248130909090909</v>
      </c>
      <c r="AA115" s="88"/>
      <c r="AB115" s="37">
        <v>63232446.23</v>
      </c>
      <c r="AC115" s="88">
        <f t="shared" si="22"/>
        <v>15.536227574938573</v>
      </c>
      <c r="AD115" s="37">
        <v>117028318.59</v>
      </c>
      <c r="AE115" s="88">
        <f t="shared" si="23"/>
        <v>28.75388663144963</v>
      </c>
      <c r="AF115" s="88">
        <v>171112060</v>
      </c>
      <c r="AG115" s="37">
        <v>407000000</v>
      </c>
      <c r="AH115" s="88">
        <v>155103670.49</v>
      </c>
      <c r="AI115" s="39">
        <f t="shared" si="33"/>
        <v>38.10900994840295</v>
      </c>
      <c r="AJ115" s="88">
        <v>188304458.52</v>
      </c>
      <c r="AK115" s="39">
        <f t="shared" si="24"/>
        <v>46.266451724815724</v>
      </c>
    </row>
    <row r="116" spans="1:37" s="36" customFormat="1" ht="12.75" customHeight="1">
      <c r="A116" s="35" t="s">
        <v>197</v>
      </c>
      <c r="C116" s="36" t="s">
        <v>198</v>
      </c>
      <c r="D116" s="37">
        <v>100000000</v>
      </c>
      <c r="E116" s="37">
        <v>94327253</v>
      </c>
      <c r="F116" s="38">
        <f>E116/D116*100</f>
        <v>94.327253</v>
      </c>
      <c r="G116" s="37">
        <v>110000000</v>
      </c>
      <c r="H116" s="37">
        <f>SUM(H117:H127)</f>
        <v>363462442</v>
      </c>
      <c r="I116" s="37">
        <f>SUM(I117:I127)</f>
        <v>0</v>
      </c>
      <c r="J116" s="37">
        <f>SUM(J117:J127)</f>
        <v>0</v>
      </c>
      <c r="K116" s="37">
        <f>SUM(K117:K127)</f>
        <v>386500000</v>
      </c>
      <c r="L116" s="37">
        <f>SUM(L117:L127)</f>
        <v>434600000</v>
      </c>
      <c r="M116" s="37">
        <f t="shared" si="34"/>
        <v>48100000</v>
      </c>
      <c r="N116" s="37">
        <f>SUM(N117:N127)</f>
        <v>253406177.42000002</v>
      </c>
      <c r="O116" s="39">
        <f t="shared" si="35"/>
        <v>58.307910128854125</v>
      </c>
      <c r="P116" s="37">
        <f>SUM(P117:P127)</f>
        <v>422000000</v>
      </c>
      <c r="Q116" s="39">
        <f>P116/H116*100</f>
        <v>116.10553147606926</v>
      </c>
      <c r="R116" s="39">
        <f t="shared" si="37"/>
        <v>97.100782328578</v>
      </c>
      <c r="S116" s="39">
        <f t="shared" si="38"/>
        <v>166.53106261911267</v>
      </c>
      <c r="T116" s="37">
        <f>SUM(T117:T127)</f>
        <v>416500000</v>
      </c>
      <c r="U116" s="37">
        <f>SUM(U117:U127)</f>
        <v>452700000</v>
      </c>
      <c r="V116" s="37">
        <f t="shared" si="29"/>
        <v>30700000</v>
      </c>
      <c r="W116" s="37"/>
      <c r="X116" s="37"/>
      <c r="Y116" s="37">
        <f>SUM(Y117:Y127)</f>
        <v>32246567.04</v>
      </c>
      <c r="Z116" s="88">
        <f t="shared" si="21"/>
        <v>7.641366597156398</v>
      </c>
      <c r="AA116" s="88">
        <f>SUM(AA117:AA127)</f>
        <v>600000</v>
      </c>
      <c r="AB116" s="37">
        <f>SUM(AB117:AB127)</f>
        <v>34082067.04</v>
      </c>
      <c r="AC116" s="88">
        <f t="shared" si="22"/>
        <v>8.076319203791469</v>
      </c>
      <c r="AD116" s="37">
        <f>SUM(AD117:AD127)</f>
        <v>68023702.78</v>
      </c>
      <c r="AE116" s="88">
        <f t="shared" si="23"/>
        <v>16.119360848341234</v>
      </c>
      <c r="AF116" s="88">
        <f>SUM(AF117:AF127)</f>
        <v>120595229</v>
      </c>
      <c r="AG116" s="37">
        <f>SUM(AG117:AG127)</f>
        <v>466340000</v>
      </c>
      <c r="AH116" s="88">
        <f>SUM(AH117:AH127)</f>
        <v>86916672.10000001</v>
      </c>
      <c r="AI116" s="39">
        <f t="shared" si="33"/>
        <v>18.638047797744136</v>
      </c>
      <c r="AJ116" s="88">
        <f>SUM(AJ117:AJ127)</f>
        <v>125898111.71</v>
      </c>
      <c r="AK116" s="39">
        <f t="shared" si="24"/>
        <v>26.997064740318223</v>
      </c>
    </row>
    <row r="117" spans="1:37" s="43" customFormat="1" ht="12.75" customHeight="1">
      <c r="A117" s="41" t="s">
        <v>199</v>
      </c>
      <c r="B117" s="42"/>
      <c r="C117" s="43" t="s">
        <v>200</v>
      </c>
      <c r="D117" s="44"/>
      <c r="E117" s="44"/>
      <c r="F117" s="45"/>
      <c r="G117" s="44"/>
      <c r="H117" s="44">
        <v>143138077</v>
      </c>
      <c r="I117" s="45"/>
      <c r="J117" s="44"/>
      <c r="K117" s="44">
        <v>140000000</v>
      </c>
      <c r="L117" s="44">
        <f>140000000+74000000</f>
        <v>214000000</v>
      </c>
      <c r="M117" s="44">
        <f t="shared" si="34"/>
        <v>74000000</v>
      </c>
      <c r="N117" s="44">
        <v>151163828.91</v>
      </c>
      <c r="O117" s="45">
        <f t="shared" si="35"/>
        <v>70.63730322897196</v>
      </c>
      <c r="P117" s="44">
        <f>140000000+30000000</f>
        <v>170000000</v>
      </c>
      <c r="Q117" s="45">
        <f>P117/H117*100</f>
        <v>118.76644116156459</v>
      </c>
      <c r="R117" s="45">
        <f t="shared" si="37"/>
        <v>79.43925233644859</v>
      </c>
      <c r="S117" s="45">
        <f t="shared" si="38"/>
        <v>112.46076606144628</v>
      </c>
      <c r="T117" s="44">
        <f>140000000+30000000</f>
        <v>170000000</v>
      </c>
      <c r="U117" s="44">
        <f>140000000+30000000+46000000+4000000</f>
        <v>220000000</v>
      </c>
      <c r="V117" s="44">
        <f t="shared" si="29"/>
        <v>50000000</v>
      </c>
      <c r="W117" s="44">
        <v>50000000</v>
      </c>
      <c r="X117" s="44"/>
      <c r="Y117" s="44">
        <v>7015538.54</v>
      </c>
      <c r="Z117" s="90">
        <f t="shared" si="21"/>
        <v>4.126787376470588</v>
      </c>
      <c r="AA117" s="90"/>
      <c r="AB117" s="44">
        <v>8632655.93</v>
      </c>
      <c r="AC117" s="90">
        <f t="shared" si="22"/>
        <v>5.0780329</v>
      </c>
      <c r="AD117" s="44">
        <v>40144796.99</v>
      </c>
      <c r="AE117" s="90">
        <f t="shared" si="23"/>
        <v>23.614586464705884</v>
      </c>
      <c r="AF117" s="90">
        <v>51826541</v>
      </c>
      <c r="AG117" s="44">
        <v>220000000</v>
      </c>
      <c r="AH117" s="90">
        <v>51837605.3</v>
      </c>
      <c r="AI117" s="45">
        <f t="shared" si="33"/>
        <v>23.56254786363636</v>
      </c>
      <c r="AJ117" s="90">
        <v>63008292.49</v>
      </c>
      <c r="AK117" s="45">
        <f t="shared" si="24"/>
        <v>28.64013295</v>
      </c>
    </row>
    <row r="118" spans="1:37" s="43" customFormat="1" ht="11.25">
      <c r="A118" s="41" t="s">
        <v>201</v>
      </c>
      <c r="B118" s="42"/>
      <c r="C118" s="43" t="s">
        <v>202</v>
      </c>
      <c r="D118" s="44"/>
      <c r="E118" s="44"/>
      <c r="F118" s="45"/>
      <c r="G118" s="44"/>
      <c r="H118" s="44">
        <v>18358122</v>
      </c>
      <c r="I118" s="45"/>
      <c r="J118" s="44"/>
      <c r="K118" s="44">
        <v>18500000</v>
      </c>
      <c r="L118" s="44">
        <v>13500000</v>
      </c>
      <c r="M118" s="44">
        <f t="shared" si="34"/>
        <v>-5000000</v>
      </c>
      <c r="N118" s="44">
        <v>10725051.65</v>
      </c>
      <c r="O118" s="45">
        <f t="shared" si="35"/>
        <v>79.44482703703703</v>
      </c>
      <c r="P118" s="44">
        <f>15000000-5000000</f>
        <v>10000000</v>
      </c>
      <c r="Q118" s="45">
        <f>P118/H118*100</f>
        <v>54.471802725790795</v>
      </c>
      <c r="R118" s="45">
        <f t="shared" si="37"/>
        <v>74.07407407407408</v>
      </c>
      <c r="S118" s="45">
        <f t="shared" si="38"/>
        <v>93.2396442118766</v>
      </c>
      <c r="T118" s="44">
        <f>15000000-5000000</f>
        <v>10000000</v>
      </c>
      <c r="U118" s="44">
        <f>15000000-5000000</f>
        <v>10000000</v>
      </c>
      <c r="V118" s="44">
        <f t="shared" si="29"/>
        <v>0</v>
      </c>
      <c r="W118" s="44"/>
      <c r="X118" s="44"/>
      <c r="Y118" s="44">
        <v>0</v>
      </c>
      <c r="Z118" s="90">
        <f t="shared" si="21"/>
        <v>0</v>
      </c>
      <c r="AA118" s="90"/>
      <c r="AB118" s="44">
        <v>202510.61</v>
      </c>
      <c r="AC118" s="90">
        <f t="shared" si="22"/>
        <v>2.0251061</v>
      </c>
      <c r="AD118" s="44">
        <v>452087.06</v>
      </c>
      <c r="AE118" s="90">
        <f t="shared" si="23"/>
        <v>4.5208706</v>
      </c>
      <c r="AF118" s="90">
        <v>7988513</v>
      </c>
      <c r="AG118" s="44">
        <v>10000000</v>
      </c>
      <c r="AH118" s="90">
        <v>454639.27</v>
      </c>
      <c r="AI118" s="45">
        <f t="shared" si="33"/>
        <v>4.5463927</v>
      </c>
      <c r="AJ118" s="90">
        <v>426089.09</v>
      </c>
      <c r="AK118" s="45">
        <f t="shared" si="24"/>
        <v>4.2608909</v>
      </c>
    </row>
    <row r="119" spans="1:37" s="43" customFormat="1" ht="11.25">
      <c r="A119" s="41" t="s">
        <v>203</v>
      </c>
      <c r="B119" s="42"/>
      <c r="C119" s="43" t="s">
        <v>204</v>
      </c>
      <c r="D119" s="44"/>
      <c r="E119" s="44"/>
      <c r="F119" s="45"/>
      <c r="G119" s="44"/>
      <c r="H119" s="44"/>
      <c r="I119" s="45"/>
      <c r="J119" s="44"/>
      <c r="K119" s="44">
        <v>5000000</v>
      </c>
      <c r="L119" s="44">
        <v>5000000</v>
      </c>
      <c r="M119" s="44">
        <f t="shared" si="34"/>
        <v>0</v>
      </c>
      <c r="N119" s="44">
        <v>7975653.74</v>
      </c>
      <c r="O119" s="45">
        <f t="shared" si="35"/>
        <v>159.5130748</v>
      </c>
      <c r="P119" s="44">
        <f>5000000+300000</f>
        <v>5300000</v>
      </c>
      <c r="Q119" s="45"/>
      <c r="R119" s="45">
        <f t="shared" si="37"/>
        <v>106</v>
      </c>
      <c r="S119" s="45">
        <f t="shared" si="38"/>
        <v>66.45223291752383</v>
      </c>
      <c r="T119" s="44">
        <f>5000000+300000</f>
        <v>5300000</v>
      </c>
      <c r="U119" s="44">
        <v>8500000</v>
      </c>
      <c r="V119" s="44">
        <f t="shared" si="29"/>
        <v>3200000</v>
      </c>
      <c r="W119" s="44"/>
      <c r="X119" s="44"/>
      <c r="Y119" s="44">
        <v>0</v>
      </c>
      <c r="Z119" s="90">
        <f t="shared" si="21"/>
        <v>0</v>
      </c>
      <c r="AA119" s="90"/>
      <c r="AB119" s="44">
        <v>0</v>
      </c>
      <c r="AC119" s="90">
        <f t="shared" si="22"/>
        <v>0</v>
      </c>
      <c r="AD119" s="44">
        <v>0</v>
      </c>
      <c r="AE119" s="90">
        <f t="shared" si="23"/>
        <v>0</v>
      </c>
      <c r="AF119" s="90">
        <v>24233317</v>
      </c>
      <c r="AG119" s="44">
        <v>8500000</v>
      </c>
      <c r="AH119" s="90">
        <v>0</v>
      </c>
      <c r="AI119" s="45">
        <f t="shared" si="33"/>
        <v>0</v>
      </c>
      <c r="AJ119" s="90">
        <v>4057368.18</v>
      </c>
      <c r="AK119" s="45">
        <f t="shared" si="24"/>
        <v>47.733743294117644</v>
      </c>
    </row>
    <row r="120" spans="1:37" s="43" customFormat="1" ht="11.25">
      <c r="A120" s="41" t="s">
        <v>205</v>
      </c>
      <c r="B120" s="42"/>
      <c r="C120" s="43" t="s">
        <v>206</v>
      </c>
      <c r="D120" s="44"/>
      <c r="E120" s="44"/>
      <c r="F120" s="45"/>
      <c r="G120" s="44"/>
      <c r="H120" s="44">
        <v>48778567</v>
      </c>
      <c r="I120" s="45"/>
      <c r="J120" s="44"/>
      <c r="K120" s="44">
        <v>50000000</v>
      </c>
      <c r="L120" s="44">
        <f>50000000-15000000</f>
        <v>35000000</v>
      </c>
      <c r="M120" s="44">
        <f t="shared" si="34"/>
        <v>-15000000</v>
      </c>
      <c r="N120" s="44">
        <v>33414427.62</v>
      </c>
      <c r="O120" s="45">
        <f t="shared" si="35"/>
        <v>95.46979320000001</v>
      </c>
      <c r="P120" s="44">
        <f>50000000+3100000</f>
        <v>53100000</v>
      </c>
      <c r="Q120" s="45">
        <f>P120/H120*100</f>
        <v>108.85928649769478</v>
      </c>
      <c r="R120" s="45">
        <f t="shared" si="37"/>
        <v>151.71428571428572</v>
      </c>
      <c r="S120" s="45">
        <f t="shared" si="38"/>
        <v>158.91339095755546</v>
      </c>
      <c r="T120" s="44">
        <f>50000000+3100000</f>
        <v>53100000</v>
      </c>
      <c r="U120" s="44">
        <v>36100000</v>
      </c>
      <c r="V120" s="44">
        <f t="shared" si="29"/>
        <v>-17000000</v>
      </c>
      <c r="W120" s="44"/>
      <c r="X120" s="44"/>
      <c r="Y120" s="44">
        <v>0</v>
      </c>
      <c r="Z120" s="90">
        <f t="shared" si="21"/>
        <v>0</v>
      </c>
      <c r="AA120" s="90"/>
      <c r="AB120" s="44">
        <v>0</v>
      </c>
      <c r="AC120" s="90">
        <f t="shared" si="22"/>
        <v>0</v>
      </c>
      <c r="AD120" s="44">
        <v>0</v>
      </c>
      <c r="AE120" s="90">
        <f t="shared" si="23"/>
        <v>0</v>
      </c>
      <c r="AF120" s="90"/>
      <c r="AG120" s="44">
        <v>36100000</v>
      </c>
      <c r="AH120" s="90">
        <v>0</v>
      </c>
      <c r="AI120" s="45">
        <f t="shared" si="33"/>
        <v>0</v>
      </c>
      <c r="AJ120" s="90">
        <v>6041751.21</v>
      </c>
      <c r="AK120" s="45">
        <f t="shared" si="24"/>
        <v>16.736152936288086</v>
      </c>
    </row>
    <row r="121" spans="1:37" s="43" customFormat="1" ht="11.25">
      <c r="A121" s="41" t="s">
        <v>207</v>
      </c>
      <c r="B121" s="42"/>
      <c r="C121" s="43" t="s">
        <v>208</v>
      </c>
      <c r="D121" s="44"/>
      <c r="E121" s="44"/>
      <c r="F121" s="45"/>
      <c r="G121" s="44"/>
      <c r="H121" s="44">
        <v>1018105</v>
      </c>
      <c r="I121" s="45"/>
      <c r="J121" s="44"/>
      <c r="K121" s="44">
        <v>1500000</v>
      </c>
      <c r="L121" s="44">
        <v>1500000</v>
      </c>
      <c r="M121" s="44">
        <f t="shared" si="34"/>
        <v>0</v>
      </c>
      <c r="N121" s="44">
        <v>1646000</v>
      </c>
      <c r="O121" s="45">
        <f t="shared" si="35"/>
        <v>109.73333333333332</v>
      </c>
      <c r="P121" s="44">
        <f>1500000+1000000</f>
        <v>2500000</v>
      </c>
      <c r="Q121" s="45">
        <f>P121/H121*100</f>
        <v>245.5542404761788</v>
      </c>
      <c r="R121" s="45">
        <f t="shared" si="37"/>
        <v>166.66666666666669</v>
      </c>
      <c r="S121" s="45">
        <f t="shared" si="38"/>
        <v>151.88335358444712</v>
      </c>
      <c r="T121" s="44">
        <f>1500000+1000000</f>
        <v>2500000</v>
      </c>
      <c r="U121" s="44">
        <f>1500000+1000000</f>
        <v>2500000</v>
      </c>
      <c r="V121" s="44">
        <f t="shared" si="29"/>
        <v>0</v>
      </c>
      <c r="W121" s="44"/>
      <c r="X121" s="44"/>
      <c r="Y121" s="44">
        <v>0</v>
      </c>
      <c r="Z121" s="90">
        <f t="shared" si="21"/>
        <v>0</v>
      </c>
      <c r="AA121" s="90"/>
      <c r="AB121" s="44">
        <v>0</v>
      </c>
      <c r="AC121" s="90">
        <f t="shared" si="22"/>
        <v>0</v>
      </c>
      <c r="AD121" s="44">
        <v>0</v>
      </c>
      <c r="AE121" s="90">
        <f t="shared" si="23"/>
        <v>0</v>
      </c>
      <c r="AF121" s="90">
        <v>39846</v>
      </c>
      <c r="AG121" s="44">
        <v>2500000</v>
      </c>
      <c r="AH121" s="90">
        <v>320450</v>
      </c>
      <c r="AI121" s="45">
        <f t="shared" si="33"/>
        <v>12.818</v>
      </c>
      <c r="AJ121" s="90">
        <v>342050</v>
      </c>
      <c r="AK121" s="45">
        <f t="shared" si="24"/>
        <v>13.682</v>
      </c>
    </row>
    <row r="122" spans="1:37" s="43" customFormat="1" ht="11.25">
      <c r="A122" s="41" t="s">
        <v>209</v>
      </c>
      <c r="B122" s="42"/>
      <c r="C122" s="43" t="s">
        <v>210</v>
      </c>
      <c r="D122" s="44"/>
      <c r="E122" s="44"/>
      <c r="F122" s="45"/>
      <c r="G122" s="44"/>
      <c r="H122" s="44">
        <v>50541805.6</v>
      </c>
      <c r="I122" s="45"/>
      <c r="J122" s="44"/>
      <c r="K122" s="44">
        <v>55000000</v>
      </c>
      <c r="L122" s="44">
        <v>55000000</v>
      </c>
      <c r="M122" s="44">
        <f t="shared" si="34"/>
        <v>0</v>
      </c>
      <c r="N122" s="44">
        <v>36122148.3</v>
      </c>
      <c r="O122" s="45">
        <f t="shared" si="35"/>
        <v>65.67663327272727</v>
      </c>
      <c r="P122" s="44">
        <f>55000000+3400000</f>
        <v>58400000</v>
      </c>
      <c r="Q122" s="45">
        <f>P122/H122*100</f>
        <v>115.5479099068831</v>
      </c>
      <c r="R122" s="45">
        <f t="shared" si="37"/>
        <v>106.18181818181817</v>
      </c>
      <c r="S122" s="45">
        <f t="shared" si="38"/>
        <v>161.67366213930305</v>
      </c>
      <c r="T122" s="44">
        <f>55000000+3400000</f>
        <v>58400000</v>
      </c>
      <c r="U122" s="44">
        <f>55000000+3400000</f>
        <v>58400000</v>
      </c>
      <c r="V122" s="44">
        <f t="shared" si="29"/>
        <v>0</v>
      </c>
      <c r="W122" s="44"/>
      <c r="X122" s="44"/>
      <c r="Y122" s="44">
        <v>24377653.5</v>
      </c>
      <c r="Z122" s="90">
        <f t="shared" si="21"/>
        <v>41.7425573630137</v>
      </c>
      <c r="AA122" s="90"/>
      <c r="AB122" s="44">
        <v>24377653.5</v>
      </c>
      <c r="AC122" s="90">
        <f t="shared" si="22"/>
        <v>41.7425573630137</v>
      </c>
      <c r="AD122" s="44">
        <v>24377653.5</v>
      </c>
      <c r="AE122" s="90">
        <f t="shared" si="23"/>
        <v>41.7425573630137</v>
      </c>
      <c r="AF122" s="90">
        <v>35991747</v>
      </c>
      <c r="AG122" s="44">
        <v>58400000</v>
      </c>
      <c r="AH122" s="90">
        <v>30563930.3</v>
      </c>
      <c r="AI122" s="45">
        <f t="shared" si="33"/>
        <v>52.33549708904109</v>
      </c>
      <c r="AJ122" s="90">
        <v>47959393.14</v>
      </c>
      <c r="AK122" s="45">
        <f t="shared" si="24"/>
        <v>82.12224852739726</v>
      </c>
    </row>
    <row r="123" spans="1:37" s="43" customFormat="1" ht="11.25">
      <c r="A123" s="41" t="s">
        <v>211</v>
      </c>
      <c r="B123" s="42"/>
      <c r="C123" s="43" t="s">
        <v>212</v>
      </c>
      <c r="D123" s="44"/>
      <c r="E123" s="44"/>
      <c r="F123" s="45"/>
      <c r="G123" s="44"/>
      <c r="H123" s="44">
        <f>147721783-50541805.6</f>
        <v>97179977.4</v>
      </c>
      <c r="I123" s="45"/>
      <c r="J123" s="44"/>
      <c r="K123" s="44">
        <v>110000000</v>
      </c>
      <c r="L123" s="44">
        <v>110000000</v>
      </c>
      <c r="M123" s="44">
        <f t="shared" si="34"/>
        <v>0</v>
      </c>
      <c r="N123" s="44"/>
      <c r="O123" s="45"/>
      <c r="P123" s="44">
        <f>91500000-20000000+45100000</f>
        <v>116600000</v>
      </c>
      <c r="Q123" s="45">
        <f>P123/H123*100</f>
        <v>119.9835636100899</v>
      </c>
      <c r="R123" s="45">
        <f t="shared" si="37"/>
        <v>106</v>
      </c>
      <c r="S123" s="45"/>
      <c r="T123" s="44">
        <f>91500000-20000000+45100000</f>
        <v>116600000</v>
      </c>
      <c r="U123" s="44">
        <f>91500000-20000000+45100000</f>
        <v>116600000</v>
      </c>
      <c r="V123" s="44">
        <f t="shared" si="29"/>
        <v>0</v>
      </c>
      <c r="W123" s="44"/>
      <c r="X123" s="44"/>
      <c r="Y123" s="44">
        <v>0</v>
      </c>
      <c r="Z123" s="90">
        <f t="shared" si="21"/>
        <v>0</v>
      </c>
      <c r="AA123" s="90"/>
      <c r="AB123" s="44">
        <v>0</v>
      </c>
      <c r="AC123" s="90">
        <f t="shared" si="22"/>
        <v>0</v>
      </c>
      <c r="AD123" s="44">
        <v>0</v>
      </c>
      <c r="AE123" s="90">
        <f t="shared" si="23"/>
        <v>0</v>
      </c>
      <c r="AF123" s="90"/>
      <c r="AG123" s="44">
        <v>130240000</v>
      </c>
      <c r="AH123" s="90">
        <v>0</v>
      </c>
      <c r="AI123" s="45">
        <f t="shared" si="33"/>
        <v>0</v>
      </c>
      <c r="AJ123" s="90">
        <v>0</v>
      </c>
      <c r="AK123" s="45">
        <f t="shared" si="24"/>
        <v>0</v>
      </c>
    </row>
    <row r="124" spans="1:37" s="43" customFormat="1" ht="11.25">
      <c r="A124" s="41" t="s">
        <v>213</v>
      </c>
      <c r="B124" s="42"/>
      <c r="C124" s="43" t="s">
        <v>214</v>
      </c>
      <c r="D124" s="44"/>
      <c r="E124" s="44"/>
      <c r="F124" s="45"/>
      <c r="G124" s="44"/>
      <c r="H124" s="44"/>
      <c r="I124" s="45"/>
      <c r="J124" s="44"/>
      <c r="K124" s="44">
        <v>2000000</v>
      </c>
      <c r="L124" s="44">
        <v>600000</v>
      </c>
      <c r="M124" s="44">
        <f t="shared" si="34"/>
        <v>-1400000</v>
      </c>
      <c r="N124" s="44">
        <v>12359067.2</v>
      </c>
      <c r="O124" s="45">
        <f>N124/L124*100</f>
        <v>2059.844533333333</v>
      </c>
      <c r="P124" s="44">
        <v>600000</v>
      </c>
      <c r="Q124" s="44">
        <v>600000</v>
      </c>
      <c r="R124" s="44">
        <v>600000</v>
      </c>
      <c r="S124" s="44">
        <v>600000</v>
      </c>
      <c r="T124" s="44">
        <v>600000</v>
      </c>
      <c r="U124" s="44">
        <v>600000</v>
      </c>
      <c r="V124" s="44">
        <v>600000</v>
      </c>
      <c r="W124" s="44">
        <v>600000</v>
      </c>
      <c r="X124" s="44">
        <v>600000</v>
      </c>
      <c r="Y124" s="44">
        <v>600000</v>
      </c>
      <c r="Z124" s="44">
        <v>600000</v>
      </c>
      <c r="AA124" s="44">
        <v>600000</v>
      </c>
      <c r="AB124" s="44">
        <v>600000</v>
      </c>
      <c r="AC124" s="44">
        <v>600000</v>
      </c>
      <c r="AD124" s="44">
        <v>600000</v>
      </c>
      <c r="AE124" s="44">
        <v>600000</v>
      </c>
      <c r="AF124" s="90">
        <f>548886.48-33621.48</f>
        <v>515265</v>
      </c>
      <c r="AG124" s="44">
        <v>600000</v>
      </c>
      <c r="AH124" s="90">
        <v>955000</v>
      </c>
      <c r="AI124" s="45">
        <f t="shared" si="33"/>
        <v>159.16666666666666</v>
      </c>
      <c r="AJ124" s="44">
        <v>930000</v>
      </c>
      <c r="AK124" s="45">
        <f t="shared" si="24"/>
        <v>155</v>
      </c>
    </row>
    <row r="125" spans="1:37" s="43" customFormat="1" ht="11.25" hidden="1">
      <c r="A125" s="41" t="s">
        <v>215</v>
      </c>
      <c r="B125" s="42"/>
      <c r="C125" s="43" t="s">
        <v>216</v>
      </c>
      <c r="D125" s="44"/>
      <c r="E125" s="44"/>
      <c r="F125" s="45"/>
      <c r="G125" s="44"/>
      <c r="H125" s="44">
        <v>4447788</v>
      </c>
      <c r="I125" s="45"/>
      <c r="J125" s="44"/>
      <c r="K125" s="44">
        <v>4500000</v>
      </c>
      <c r="L125" s="44"/>
      <c r="M125" s="44">
        <f t="shared" si="34"/>
        <v>-4500000</v>
      </c>
      <c r="N125" s="44"/>
      <c r="O125" s="45"/>
      <c r="P125" s="44">
        <f>4600000+900000</f>
        <v>5500000</v>
      </c>
      <c r="Q125" s="45">
        <f>P125/H125*100</f>
        <v>123.65697285931793</v>
      </c>
      <c r="R125" s="45" t="e">
        <f t="shared" si="37"/>
        <v>#DIV/0!</v>
      </c>
      <c r="S125" s="45"/>
      <c r="T125" s="44"/>
      <c r="U125" s="44"/>
      <c r="V125" s="44">
        <f aca="true" t="shared" si="39" ref="V125:V146">U125-P125</f>
        <v>-5500000</v>
      </c>
      <c r="W125" s="44"/>
      <c r="X125" s="44"/>
      <c r="Y125" s="44">
        <v>0</v>
      </c>
      <c r="Z125" s="90">
        <f t="shared" si="21"/>
        <v>0</v>
      </c>
      <c r="AA125" s="90"/>
      <c r="AB125" s="44">
        <v>0</v>
      </c>
      <c r="AC125" s="90">
        <f t="shared" si="22"/>
        <v>0</v>
      </c>
      <c r="AD125" s="44">
        <v>0</v>
      </c>
      <c r="AE125" s="90">
        <f t="shared" si="23"/>
        <v>0</v>
      </c>
      <c r="AF125" s="90"/>
      <c r="AG125" s="44"/>
      <c r="AH125" s="90"/>
      <c r="AI125" s="45"/>
      <c r="AJ125" s="90"/>
      <c r="AK125" s="45" t="e">
        <f t="shared" si="24"/>
        <v>#DIV/0!</v>
      </c>
    </row>
    <row r="126" spans="1:37" s="43" customFormat="1" ht="11.25" hidden="1">
      <c r="A126" s="41" t="s">
        <v>217</v>
      </c>
      <c r="B126" s="42"/>
      <c r="C126" s="43" t="s">
        <v>218</v>
      </c>
      <c r="D126" s="44"/>
      <c r="E126" s="44"/>
      <c r="F126" s="45"/>
      <c r="G126" s="44"/>
      <c r="H126" s="44"/>
      <c r="I126" s="45"/>
      <c r="J126" s="44"/>
      <c r="K126" s="44"/>
      <c r="L126" s="44"/>
      <c r="M126" s="44"/>
      <c r="N126" s="44"/>
      <c r="O126" s="45"/>
      <c r="P126" s="44"/>
      <c r="Q126" s="39"/>
      <c r="R126" s="39"/>
      <c r="S126" s="39"/>
      <c r="T126" s="44"/>
      <c r="U126" s="44"/>
      <c r="V126" s="44">
        <f t="shared" si="39"/>
        <v>0</v>
      </c>
      <c r="W126" s="44"/>
      <c r="X126" s="44"/>
      <c r="Y126" s="44">
        <v>0</v>
      </c>
      <c r="Z126" s="90"/>
      <c r="AA126" s="90"/>
      <c r="AB126" s="44">
        <v>0</v>
      </c>
      <c r="AC126" s="90" t="e">
        <f t="shared" si="22"/>
        <v>#DIV/0!</v>
      </c>
      <c r="AD126" s="44">
        <v>0</v>
      </c>
      <c r="AE126" s="90" t="e">
        <f t="shared" si="23"/>
        <v>#DIV/0!</v>
      </c>
      <c r="AF126" s="90"/>
      <c r="AG126" s="44"/>
      <c r="AH126" s="90"/>
      <c r="AI126" s="39"/>
      <c r="AJ126" s="90"/>
      <c r="AK126" s="39" t="e">
        <f t="shared" si="24"/>
        <v>#DIV/0!</v>
      </c>
    </row>
    <row r="127" spans="1:37" s="43" customFormat="1" ht="11.25">
      <c r="A127" s="41" t="s">
        <v>219</v>
      </c>
      <c r="B127" s="42"/>
      <c r="C127" s="43" t="s">
        <v>587</v>
      </c>
      <c r="D127" s="44"/>
      <c r="E127" s="44"/>
      <c r="F127" s="45"/>
      <c r="G127" s="44"/>
      <c r="H127" s="44"/>
      <c r="I127" s="45"/>
      <c r="J127" s="44"/>
      <c r="K127" s="44"/>
      <c r="L127" s="44"/>
      <c r="M127" s="44"/>
      <c r="N127" s="44"/>
      <c r="O127" s="45"/>
      <c r="P127" s="44"/>
      <c r="Q127" s="39"/>
      <c r="R127" s="39"/>
      <c r="S127" s="39"/>
      <c r="T127" s="44"/>
      <c r="U127" s="44"/>
      <c r="V127" s="44">
        <f t="shared" si="39"/>
        <v>0</v>
      </c>
      <c r="W127" s="44"/>
      <c r="X127" s="44"/>
      <c r="Y127" s="44">
        <v>253375</v>
      </c>
      <c r="Z127" s="90"/>
      <c r="AA127" s="90"/>
      <c r="AB127" s="44">
        <v>269247</v>
      </c>
      <c r="AC127" s="90"/>
      <c r="AD127" s="44">
        <v>2449165.23</v>
      </c>
      <c r="AE127" s="90"/>
      <c r="AF127" s="90"/>
      <c r="AG127" s="44"/>
      <c r="AH127" s="90">
        <v>2785047.23</v>
      </c>
      <c r="AI127" s="39"/>
      <c r="AJ127" s="90">
        <v>3133167.6</v>
      </c>
      <c r="AK127" s="39"/>
    </row>
    <row r="128" spans="1:37" s="36" customFormat="1" ht="12.75" customHeight="1">
      <c r="A128" s="35" t="s">
        <v>220</v>
      </c>
      <c r="C128" s="36" t="s">
        <v>221</v>
      </c>
      <c r="D128" s="37"/>
      <c r="E128" s="37"/>
      <c r="F128" s="38"/>
      <c r="G128" s="37"/>
      <c r="H128" s="37"/>
      <c r="I128" s="38"/>
      <c r="J128" s="37"/>
      <c r="K128" s="37"/>
      <c r="L128" s="37">
        <v>15000000</v>
      </c>
      <c r="M128" s="44"/>
      <c r="N128" s="37">
        <v>12830752.6</v>
      </c>
      <c r="O128" s="39">
        <f>N128/L128*100</f>
        <v>85.53835066666666</v>
      </c>
      <c r="P128" s="37"/>
      <c r="Q128" s="39"/>
      <c r="R128" s="39"/>
      <c r="S128" s="39"/>
      <c r="T128" s="37"/>
      <c r="U128" s="37">
        <v>13800000</v>
      </c>
      <c r="V128" s="37">
        <f t="shared" si="39"/>
        <v>13800000</v>
      </c>
      <c r="W128" s="37"/>
      <c r="X128" s="37"/>
      <c r="Y128" s="37">
        <v>0</v>
      </c>
      <c r="Z128" s="88"/>
      <c r="AA128" s="88"/>
      <c r="AB128" s="37">
        <v>0</v>
      </c>
      <c r="AC128" s="88" t="e">
        <f t="shared" si="22"/>
        <v>#DIV/0!</v>
      </c>
      <c r="AD128" s="37">
        <v>0</v>
      </c>
      <c r="AE128" s="88" t="e">
        <f t="shared" si="23"/>
        <v>#DIV/0!</v>
      </c>
      <c r="AF128" s="88"/>
      <c r="AG128" s="37">
        <v>13800000</v>
      </c>
      <c r="AH128" s="88">
        <v>0</v>
      </c>
      <c r="AI128" s="39">
        <f aca="true" t="shared" si="40" ref="AI128:AI146">+AH128/AG128*100</f>
        <v>0</v>
      </c>
      <c r="AJ128" s="88">
        <v>3891543.02</v>
      </c>
      <c r="AK128" s="39">
        <f t="shared" si="24"/>
        <v>28.199587101449275</v>
      </c>
    </row>
    <row r="129" spans="1:37" s="36" customFormat="1" ht="12.75" customHeight="1">
      <c r="A129" s="35" t="s">
        <v>222</v>
      </c>
      <c r="C129" s="36" t="s">
        <v>223</v>
      </c>
      <c r="D129" s="37"/>
      <c r="E129" s="37"/>
      <c r="F129" s="38"/>
      <c r="G129" s="37"/>
      <c r="H129" s="37">
        <f>SUM(H130:H140)</f>
        <v>87368873</v>
      </c>
      <c r="I129" s="37">
        <f>SUM(I130:I140)</f>
        <v>0</v>
      </c>
      <c r="J129" s="37">
        <f>SUM(J130:J140)</f>
        <v>0</v>
      </c>
      <c r="K129" s="37">
        <f>SUM(K130:K140)</f>
        <v>107000000</v>
      </c>
      <c r="L129" s="37">
        <f>SUM(L130:L140)</f>
        <v>106000000</v>
      </c>
      <c r="M129" s="37">
        <f>L129-K129</f>
        <v>-1000000</v>
      </c>
      <c r="N129" s="37">
        <f>SUM(N130:N140)</f>
        <v>112260289.29</v>
      </c>
      <c r="O129" s="39">
        <f>N129/L129*100</f>
        <v>105.90593329245283</v>
      </c>
      <c r="P129" s="37">
        <f>SUM(P130:P140)</f>
        <v>112600000</v>
      </c>
      <c r="Q129" s="37">
        <f aca="true" t="shared" si="41" ref="Q129:AG129">SUM(Q130:Q140)</f>
        <v>886.3197219074839</v>
      </c>
      <c r="R129" s="37">
        <f t="shared" si="41"/>
        <v>569.5185185185185</v>
      </c>
      <c r="S129" s="37">
        <f t="shared" si="41"/>
        <v>590.451108349559</v>
      </c>
      <c r="T129" s="37">
        <f t="shared" si="41"/>
        <v>112600000</v>
      </c>
      <c r="U129" s="37">
        <f t="shared" si="41"/>
        <v>112600000</v>
      </c>
      <c r="V129" s="37">
        <f t="shared" si="41"/>
        <v>0</v>
      </c>
      <c r="W129" s="37">
        <f t="shared" si="41"/>
        <v>0</v>
      </c>
      <c r="X129" s="37">
        <f t="shared" si="41"/>
        <v>0</v>
      </c>
      <c r="Y129" s="37">
        <f t="shared" si="41"/>
        <v>33830192</v>
      </c>
      <c r="Z129" s="37">
        <f t="shared" si="41"/>
        <v>84.0503116384873</v>
      </c>
      <c r="AA129" s="37">
        <f t="shared" si="41"/>
        <v>0</v>
      </c>
      <c r="AB129" s="37">
        <f t="shared" si="41"/>
        <v>36052575.7</v>
      </c>
      <c r="AC129" s="37" t="e">
        <f t="shared" si="41"/>
        <v>#DIV/0!</v>
      </c>
      <c r="AD129" s="37">
        <f t="shared" si="41"/>
        <v>46428471.7</v>
      </c>
      <c r="AE129" s="37" t="e">
        <f t="shared" si="41"/>
        <v>#DIV/0!</v>
      </c>
      <c r="AF129" s="88">
        <f>+AF132+AF133+AF134+AF135+AF137</f>
        <v>70667209</v>
      </c>
      <c r="AG129" s="37">
        <f t="shared" si="41"/>
        <v>112600000</v>
      </c>
      <c r="AH129" s="88">
        <f>SUM(AH130:AH140)</f>
        <v>49004368.1</v>
      </c>
      <c r="AI129" s="39">
        <f t="shared" si="40"/>
        <v>43.520753197158086</v>
      </c>
      <c r="AJ129" s="88">
        <f>SUM(AJ130:AJ140)</f>
        <v>68553233.11</v>
      </c>
      <c r="AK129" s="39">
        <f t="shared" si="24"/>
        <v>60.88208979573713</v>
      </c>
    </row>
    <row r="130" spans="1:37" s="43" customFormat="1" ht="12.75" customHeight="1" hidden="1">
      <c r="A130" s="41" t="s">
        <v>224</v>
      </c>
      <c r="B130" s="42"/>
      <c r="C130" s="43" t="s">
        <v>225</v>
      </c>
      <c r="D130" s="44"/>
      <c r="E130" s="44"/>
      <c r="F130" s="45"/>
      <c r="G130" s="44"/>
      <c r="H130" s="44"/>
      <c r="I130" s="45"/>
      <c r="J130" s="44"/>
      <c r="K130" s="44"/>
      <c r="L130" s="44"/>
      <c r="M130" s="44"/>
      <c r="N130" s="44"/>
      <c r="O130" s="45"/>
      <c r="P130" s="44"/>
      <c r="Q130" s="39"/>
      <c r="R130" s="39"/>
      <c r="S130" s="39"/>
      <c r="T130" s="44"/>
      <c r="U130" s="44"/>
      <c r="V130" s="44">
        <f t="shared" si="39"/>
        <v>0</v>
      </c>
      <c r="W130" s="44"/>
      <c r="X130" s="44"/>
      <c r="Y130" s="44">
        <v>0</v>
      </c>
      <c r="Z130" s="90"/>
      <c r="AA130" s="90"/>
      <c r="AB130" s="44">
        <v>0</v>
      </c>
      <c r="AC130" s="90" t="e">
        <f t="shared" si="22"/>
        <v>#DIV/0!</v>
      </c>
      <c r="AD130" s="44">
        <v>0</v>
      </c>
      <c r="AE130" s="90" t="e">
        <f t="shared" si="23"/>
        <v>#DIV/0!</v>
      </c>
      <c r="AF130" s="90"/>
      <c r="AG130" s="44"/>
      <c r="AH130" s="90"/>
      <c r="AI130" s="39" t="e">
        <f t="shared" si="40"/>
        <v>#DIV/0!</v>
      </c>
      <c r="AJ130" s="90"/>
      <c r="AK130" s="39" t="e">
        <f t="shared" si="24"/>
        <v>#DIV/0!</v>
      </c>
    </row>
    <row r="131" spans="1:37" s="43" customFormat="1" ht="11.25" hidden="1">
      <c r="A131" s="41" t="s">
        <v>224</v>
      </c>
      <c r="B131" s="42"/>
      <c r="C131" s="43" t="s">
        <v>227</v>
      </c>
      <c r="D131" s="44"/>
      <c r="E131" s="44"/>
      <c r="F131" s="45"/>
      <c r="G131" s="44"/>
      <c r="H131" s="44"/>
      <c r="I131" s="45"/>
      <c r="J131" s="44"/>
      <c r="K131" s="44"/>
      <c r="L131" s="44"/>
      <c r="M131" s="44"/>
      <c r="N131" s="44"/>
      <c r="O131" s="45"/>
      <c r="P131" s="44"/>
      <c r="Q131" s="39"/>
      <c r="R131" s="39"/>
      <c r="S131" s="39"/>
      <c r="T131" s="44"/>
      <c r="U131" s="44"/>
      <c r="V131" s="44">
        <f t="shared" si="39"/>
        <v>0</v>
      </c>
      <c r="W131" s="44"/>
      <c r="X131" s="44"/>
      <c r="Y131" s="44"/>
      <c r="Z131" s="90"/>
      <c r="AA131" s="90"/>
      <c r="AB131" s="44"/>
      <c r="AC131" s="90" t="e">
        <f t="shared" si="22"/>
        <v>#DIV/0!</v>
      </c>
      <c r="AD131" s="44"/>
      <c r="AE131" s="90" t="e">
        <f t="shared" si="23"/>
        <v>#DIV/0!</v>
      </c>
      <c r="AF131" s="90"/>
      <c r="AG131" s="44"/>
      <c r="AH131" s="90"/>
      <c r="AI131" s="39" t="e">
        <f t="shared" si="40"/>
        <v>#DIV/0!</v>
      </c>
      <c r="AJ131" s="90"/>
      <c r="AK131" s="39" t="e">
        <f t="shared" si="24"/>
        <v>#DIV/0!</v>
      </c>
    </row>
    <row r="132" spans="1:37" s="43" customFormat="1" ht="11.25">
      <c r="A132" s="41" t="s">
        <v>226</v>
      </c>
      <c r="B132" s="42"/>
      <c r="C132" s="43" t="s">
        <v>229</v>
      </c>
      <c r="D132" s="44"/>
      <c r="E132" s="44"/>
      <c r="F132" s="45"/>
      <c r="G132" s="44"/>
      <c r="H132" s="44">
        <v>43664981</v>
      </c>
      <c r="I132" s="45"/>
      <c r="J132" s="44"/>
      <c r="K132" s="44">
        <v>54000000</v>
      </c>
      <c r="L132" s="44">
        <v>54000000</v>
      </c>
      <c r="M132" s="44">
        <f>L132-K132</f>
        <v>0</v>
      </c>
      <c r="N132" s="44">
        <v>57453999.1</v>
      </c>
      <c r="O132" s="45">
        <f>N132/L132*100</f>
        <v>106.39629462962962</v>
      </c>
      <c r="P132" s="44">
        <v>55000000</v>
      </c>
      <c r="Q132" s="45">
        <f>P132/H132*100</f>
        <v>125.95906087764016</v>
      </c>
      <c r="R132" s="45">
        <f>P132/L132*100</f>
        <v>101.85185185185186</v>
      </c>
      <c r="S132" s="45">
        <f>P132/N132*100</f>
        <v>95.72875841814117</v>
      </c>
      <c r="T132" s="44">
        <v>55000000</v>
      </c>
      <c r="U132" s="44">
        <v>55000000</v>
      </c>
      <c r="V132" s="44">
        <f t="shared" si="39"/>
        <v>0</v>
      </c>
      <c r="W132" s="44"/>
      <c r="X132" s="44"/>
      <c r="Y132" s="44">
        <v>27709061.5</v>
      </c>
      <c r="Z132" s="90">
        <f t="shared" si="21"/>
        <v>50.38011181818182</v>
      </c>
      <c r="AA132" s="90"/>
      <c r="AB132" s="44">
        <v>27709061.5</v>
      </c>
      <c r="AC132" s="90">
        <f t="shared" si="22"/>
        <v>50.38011181818182</v>
      </c>
      <c r="AD132" s="44">
        <v>35709061.5</v>
      </c>
      <c r="AE132" s="90">
        <f t="shared" si="23"/>
        <v>64.92556636363636</v>
      </c>
      <c r="AF132" s="90">
        <v>41822262</v>
      </c>
      <c r="AG132" s="37">
        <v>55000000</v>
      </c>
      <c r="AH132" s="90">
        <v>35709061.5</v>
      </c>
      <c r="AI132" s="45">
        <f t="shared" si="40"/>
        <v>64.92556636363636</v>
      </c>
      <c r="AJ132" s="90">
        <v>43709061.5</v>
      </c>
      <c r="AK132" s="45">
        <f t="shared" si="24"/>
        <v>79.47102090909091</v>
      </c>
    </row>
    <row r="133" spans="1:37" s="43" customFormat="1" ht="11.25">
      <c r="A133" s="41" t="s">
        <v>228</v>
      </c>
      <c r="B133" s="42"/>
      <c r="C133" s="43" t="s">
        <v>231</v>
      </c>
      <c r="D133" s="44"/>
      <c r="E133" s="44"/>
      <c r="F133" s="45"/>
      <c r="G133" s="44"/>
      <c r="H133" s="44"/>
      <c r="I133" s="45"/>
      <c r="J133" s="44"/>
      <c r="K133" s="44"/>
      <c r="L133" s="44">
        <v>5000000</v>
      </c>
      <c r="M133" s="44">
        <f>L133-K133</f>
        <v>5000000</v>
      </c>
      <c r="N133" s="44">
        <v>3727399.61</v>
      </c>
      <c r="O133" s="45">
        <f>N133/L133*100</f>
        <v>74.5479922</v>
      </c>
      <c r="P133" s="44">
        <v>6000000</v>
      </c>
      <c r="Q133" s="45"/>
      <c r="R133" s="45">
        <f>P133/L133*100</f>
        <v>120</v>
      </c>
      <c r="S133" s="45">
        <f>P133/N133*100</f>
        <v>160.97013005804334</v>
      </c>
      <c r="T133" s="44">
        <v>6000000</v>
      </c>
      <c r="U133" s="44">
        <v>6000000</v>
      </c>
      <c r="V133" s="44">
        <f t="shared" si="39"/>
        <v>0</v>
      </c>
      <c r="W133" s="44"/>
      <c r="X133" s="44"/>
      <c r="Y133" s="44">
        <v>1129502</v>
      </c>
      <c r="Z133" s="90">
        <f t="shared" si="21"/>
        <v>18.825033333333334</v>
      </c>
      <c r="AA133" s="90"/>
      <c r="AB133" s="44">
        <v>1129502</v>
      </c>
      <c r="AC133" s="90">
        <f t="shared" si="22"/>
        <v>18.825033333333334</v>
      </c>
      <c r="AD133" s="44">
        <v>2482130</v>
      </c>
      <c r="AE133" s="90">
        <f t="shared" si="23"/>
        <v>41.368833333333335</v>
      </c>
      <c r="AF133" s="90">
        <f>1594306.37+20092.23</f>
        <v>1614398.6</v>
      </c>
      <c r="AG133" s="37">
        <v>6000000</v>
      </c>
      <c r="AH133" s="90">
        <v>2482130</v>
      </c>
      <c r="AI133" s="45">
        <f t="shared" si="40"/>
        <v>41.368833333333335</v>
      </c>
      <c r="AJ133" s="90">
        <v>2482130</v>
      </c>
      <c r="AK133" s="45">
        <f t="shared" si="24"/>
        <v>41.368833333333335</v>
      </c>
    </row>
    <row r="134" spans="1:37" s="43" customFormat="1" ht="11.25">
      <c r="A134" s="41" t="s">
        <v>230</v>
      </c>
      <c r="B134" s="42"/>
      <c r="C134" s="43" t="s">
        <v>233</v>
      </c>
      <c r="D134" s="44"/>
      <c r="E134" s="44"/>
      <c r="F134" s="45"/>
      <c r="G134" s="44"/>
      <c r="H134" s="44">
        <v>35982054</v>
      </c>
      <c r="I134" s="45"/>
      <c r="J134" s="44"/>
      <c r="K134" s="44">
        <v>35000000</v>
      </c>
      <c r="L134" s="44">
        <v>35000000</v>
      </c>
      <c r="M134" s="44">
        <f>L134-K134</f>
        <v>0</v>
      </c>
      <c r="N134" s="44">
        <f>35968201.35+1455636</f>
        <v>37423837.35</v>
      </c>
      <c r="O134" s="45">
        <f>N134/L134*100</f>
        <v>106.92524957142857</v>
      </c>
      <c r="P134" s="44">
        <f>35000000+2100000</f>
        <v>37100000</v>
      </c>
      <c r="Q134" s="45">
        <f>P134/H134*100</f>
        <v>103.10695437231014</v>
      </c>
      <c r="R134" s="45">
        <f>P134/L134*100</f>
        <v>106</v>
      </c>
      <c r="S134" s="45">
        <f>P134/N134*100</f>
        <v>99.13467625735072</v>
      </c>
      <c r="T134" s="44">
        <f>35000000+2100000</f>
        <v>37100000</v>
      </c>
      <c r="U134" s="44">
        <f>35000000+2100000</f>
        <v>37100000</v>
      </c>
      <c r="V134" s="44">
        <f t="shared" si="39"/>
        <v>0</v>
      </c>
      <c r="W134" s="44"/>
      <c r="X134" s="44"/>
      <c r="Y134" s="44">
        <v>4892092.5</v>
      </c>
      <c r="Z134" s="90">
        <f t="shared" si="21"/>
        <v>13.186233153638813</v>
      </c>
      <c r="AA134" s="90"/>
      <c r="AB134" s="44">
        <v>4892092.5</v>
      </c>
      <c r="AC134" s="90">
        <f t="shared" si="22"/>
        <v>13.186233153638813</v>
      </c>
      <c r="AD134" s="44">
        <v>5377304.5</v>
      </c>
      <c r="AE134" s="90">
        <f t="shared" si="23"/>
        <v>14.494082210242587</v>
      </c>
      <c r="AF134" s="90">
        <v>19846967.6</v>
      </c>
      <c r="AG134" s="44">
        <v>37100000</v>
      </c>
      <c r="AH134" s="90">
        <v>5498607.5</v>
      </c>
      <c r="AI134" s="45">
        <f t="shared" si="40"/>
        <v>14.82104447439353</v>
      </c>
      <c r="AJ134" s="90">
        <v>16847472.51</v>
      </c>
      <c r="AK134" s="45">
        <f t="shared" si="24"/>
        <v>45.410977115902966</v>
      </c>
    </row>
    <row r="135" spans="1:37" s="43" customFormat="1" ht="11.25">
      <c r="A135" s="41" t="s">
        <v>232</v>
      </c>
      <c r="B135" s="42"/>
      <c r="C135" s="43" t="s">
        <v>235</v>
      </c>
      <c r="D135" s="44"/>
      <c r="E135" s="44"/>
      <c r="F135" s="45"/>
      <c r="G135" s="44"/>
      <c r="H135" s="44">
        <v>1516326</v>
      </c>
      <c r="I135" s="45"/>
      <c r="J135" s="44"/>
      <c r="K135" s="44">
        <v>4000000</v>
      </c>
      <c r="L135" s="44">
        <v>6000000</v>
      </c>
      <c r="M135" s="44">
        <f>L135-K135</f>
        <v>2000000</v>
      </c>
      <c r="N135" s="44">
        <v>9528951.4</v>
      </c>
      <c r="O135" s="45">
        <f>N135/L135*100</f>
        <v>158.81585666666666</v>
      </c>
      <c r="P135" s="44">
        <f>6000000+2500000</f>
        <v>8500000</v>
      </c>
      <c r="Q135" s="45">
        <f>P135/H135*100</f>
        <v>560.5654720686713</v>
      </c>
      <c r="R135" s="45">
        <f>P135/L135*100</f>
        <v>141.66666666666669</v>
      </c>
      <c r="S135" s="45">
        <f>P135/N135*100</f>
        <v>89.20184019408474</v>
      </c>
      <c r="T135" s="44">
        <f>6000000+2500000</f>
        <v>8500000</v>
      </c>
      <c r="U135" s="44">
        <f>6000000+2500000</f>
        <v>8500000</v>
      </c>
      <c r="V135" s="44">
        <f t="shared" si="39"/>
        <v>0</v>
      </c>
      <c r="W135" s="44"/>
      <c r="X135" s="44"/>
      <c r="Y135" s="44">
        <v>0</v>
      </c>
      <c r="Z135" s="90">
        <f t="shared" si="21"/>
        <v>0</v>
      </c>
      <c r="AA135" s="90"/>
      <c r="AB135" s="44">
        <v>2172383.7</v>
      </c>
      <c r="AC135" s="90">
        <f t="shared" si="22"/>
        <v>25.55745529411765</v>
      </c>
      <c r="AD135" s="44">
        <v>2172383.7</v>
      </c>
      <c r="AE135" s="90">
        <f t="shared" si="23"/>
        <v>25.55745529411765</v>
      </c>
      <c r="AF135" s="90">
        <v>5263424</v>
      </c>
      <c r="AG135" s="44">
        <v>8500000</v>
      </c>
      <c r="AH135" s="90">
        <v>4626977.1</v>
      </c>
      <c r="AI135" s="45">
        <f t="shared" si="40"/>
        <v>54.43502470588235</v>
      </c>
      <c r="AJ135" s="90">
        <v>4626977.1</v>
      </c>
      <c r="AK135" s="45">
        <f t="shared" si="24"/>
        <v>54.43502470588235</v>
      </c>
    </row>
    <row r="136" spans="1:37" s="43" customFormat="1" ht="11.25" hidden="1">
      <c r="A136" s="41" t="s">
        <v>234</v>
      </c>
      <c r="B136" s="42"/>
      <c r="C136" s="43" t="s">
        <v>237</v>
      </c>
      <c r="D136" s="44"/>
      <c r="E136" s="44"/>
      <c r="F136" s="45"/>
      <c r="G136" s="44"/>
      <c r="H136" s="44"/>
      <c r="I136" s="45"/>
      <c r="J136" s="44"/>
      <c r="K136" s="44"/>
      <c r="L136" s="44"/>
      <c r="M136" s="44"/>
      <c r="N136" s="44"/>
      <c r="O136" s="45"/>
      <c r="P136" s="44"/>
      <c r="Q136" s="45"/>
      <c r="R136" s="45"/>
      <c r="S136" s="45"/>
      <c r="T136" s="44"/>
      <c r="U136" s="44"/>
      <c r="V136" s="44">
        <f t="shared" si="39"/>
        <v>0</v>
      </c>
      <c r="W136" s="44"/>
      <c r="X136" s="44"/>
      <c r="Y136" s="44"/>
      <c r="Z136" s="90"/>
      <c r="AA136" s="90"/>
      <c r="AB136" s="44"/>
      <c r="AC136" s="90" t="e">
        <f t="shared" si="22"/>
        <v>#DIV/0!</v>
      </c>
      <c r="AD136" s="44"/>
      <c r="AE136" s="90" t="e">
        <f t="shared" si="23"/>
        <v>#DIV/0!</v>
      </c>
      <c r="AF136" s="90"/>
      <c r="AG136" s="44"/>
      <c r="AH136" s="90"/>
      <c r="AI136" s="45" t="e">
        <f t="shared" si="40"/>
        <v>#DIV/0!</v>
      </c>
      <c r="AJ136" s="90"/>
      <c r="AK136" s="45" t="e">
        <f aca="true" t="shared" si="42" ref="AK136:AK199">+AJ136/AG136*100</f>
        <v>#DIV/0!</v>
      </c>
    </row>
    <row r="137" spans="1:37" s="43" customFormat="1" ht="11.25">
      <c r="A137" s="41" t="s">
        <v>236</v>
      </c>
      <c r="B137" s="42"/>
      <c r="C137" s="43" t="s">
        <v>238</v>
      </c>
      <c r="D137" s="44"/>
      <c r="E137" s="44"/>
      <c r="F137" s="45"/>
      <c r="G137" s="44"/>
      <c r="H137" s="44">
        <v>6205512</v>
      </c>
      <c r="I137" s="45"/>
      <c r="J137" s="44"/>
      <c r="K137" s="44">
        <v>6000000</v>
      </c>
      <c r="L137" s="44">
        <v>6000000</v>
      </c>
      <c r="M137" s="44">
        <f>L137-K137</f>
        <v>0</v>
      </c>
      <c r="N137" s="44">
        <v>4126101.83</v>
      </c>
      <c r="O137" s="45">
        <f>N137/L137*100</f>
        <v>68.76836383333334</v>
      </c>
      <c r="P137" s="44">
        <v>6000000</v>
      </c>
      <c r="Q137" s="45">
        <f>P137/H137*100</f>
        <v>96.68823458886229</v>
      </c>
      <c r="R137" s="45">
        <f>P137/L137*100</f>
        <v>100</v>
      </c>
      <c r="S137" s="45">
        <f>P137/N137*100</f>
        <v>145.41570342193907</v>
      </c>
      <c r="T137" s="44">
        <v>6000000</v>
      </c>
      <c r="U137" s="44">
        <v>6000000</v>
      </c>
      <c r="V137" s="44">
        <f t="shared" si="39"/>
        <v>0</v>
      </c>
      <c r="W137" s="44"/>
      <c r="X137" s="44"/>
      <c r="Y137" s="44">
        <v>99536</v>
      </c>
      <c r="Z137" s="90">
        <f aca="true" t="shared" si="43" ref="Z137:Z202">+Y137/P137*100</f>
        <v>1.6589333333333334</v>
      </c>
      <c r="AA137" s="90"/>
      <c r="AB137" s="44">
        <v>149536</v>
      </c>
      <c r="AC137" s="90">
        <f aca="true" t="shared" si="44" ref="AC137:AC200">+AB137/P137*100</f>
        <v>2.4922666666666666</v>
      </c>
      <c r="AD137" s="44">
        <v>687592</v>
      </c>
      <c r="AE137" s="90">
        <f aca="true" t="shared" si="45" ref="AE137:AE200">AD137/P137*100</f>
        <v>11.459866666666667</v>
      </c>
      <c r="AF137" s="90">
        <v>2120156.8</v>
      </c>
      <c r="AG137" s="44">
        <v>6000000</v>
      </c>
      <c r="AH137" s="90">
        <v>687592</v>
      </c>
      <c r="AI137" s="45">
        <f t="shared" si="40"/>
        <v>11.459866666666667</v>
      </c>
      <c r="AJ137" s="90">
        <v>887592</v>
      </c>
      <c r="AK137" s="45">
        <f t="shared" si="42"/>
        <v>14.7932</v>
      </c>
    </row>
    <row r="138" spans="1:37" s="43" customFormat="1" ht="11.25" hidden="1">
      <c r="A138" s="41" t="s">
        <v>239</v>
      </c>
      <c r="B138" s="42"/>
      <c r="C138" s="43" t="s">
        <v>240</v>
      </c>
      <c r="D138" s="44"/>
      <c r="E138" s="44"/>
      <c r="F138" s="45"/>
      <c r="G138" s="44"/>
      <c r="H138" s="44"/>
      <c r="I138" s="45"/>
      <c r="J138" s="44"/>
      <c r="K138" s="44"/>
      <c r="L138" s="44"/>
      <c r="M138" s="44"/>
      <c r="N138" s="44"/>
      <c r="O138" s="45"/>
      <c r="P138" s="44"/>
      <c r="Q138" s="45"/>
      <c r="R138" s="45"/>
      <c r="S138" s="45"/>
      <c r="T138" s="44"/>
      <c r="U138" s="44"/>
      <c r="V138" s="44">
        <f t="shared" si="39"/>
        <v>0</v>
      </c>
      <c r="W138" s="44"/>
      <c r="X138" s="44"/>
      <c r="Y138" s="44">
        <v>0</v>
      </c>
      <c r="Z138" s="90"/>
      <c r="AA138" s="90"/>
      <c r="AB138" s="44">
        <v>0</v>
      </c>
      <c r="AC138" s="90" t="e">
        <f t="shared" si="44"/>
        <v>#DIV/0!</v>
      </c>
      <c r="AD138" s="44">
        <v>0</v>
      </c>
      <c r="AE138" s="90" t="e">
        <f t="shared" si="45"/>
        <v>#DIV/0!</v>
      </c>
      <c r="AF138" s="90"/>
      <c r="AG138" s="44"/>
      <c r="AH138" s="90"/>
      <c r="AI138" s="45" t="e">
        <f t="shared" si="40"/>
        <v>#DIV/0!</v>
      </c>
      <c r="AJ138" s="90"/>
      <c r="AK138" s="45" t="e">
        <f t="shared" si="42"/>
        <v>#DIV/0!</v>
      </c>
    </row>
    <row r="139" spans="1:37" s="43" customFormat="1" ht="11.25" hidden="1">
      <c r="A139" s="41" t="s">
        <v>241</v>
      </c>
      <c r="B139" s="42"/>
      <c r="C139" s="43" t="s">
        <v>242</v>
      </c>
      <c r="D139" s="44"/>
      <c r="E139" s="44"/>
      <c r="F139" s="45"/>
      <c r="G139" s="44"/>
      <c r="H139" s="44"/>
      <c r="I139" s="45"/>
      <c r="J139" s="44"/>
      <c r="K139" s="44"/>
      <c r="L139" s="44"/>
      <c r="M139" s="44"/>
      <c r="N139" s="44"/>
      <c r="O139" s="45"/>
      <c r="P139" s="44"/>
      <c r="Q139" s="45"/>
      <c r="R139" s="45"/>
      <c r="S139" s="45"/>
      <c r="T139" s="44"/>
      <c r="U139" s="44"/>
      <c r="V139" s="44">
        <f t="shared" si="39"/>
        <v>0</v>
      </c>
      <c r="W139" s="44"/>
      <c r="X139" s="44"/>
      <c r="Y139" s="44">
        <v>0</v>
      </c>
      <c r="Z139" s="90"/>
      <c r="AA139" s="90"/>
      <c r="AB139" s="44">
        <v>0</v>
      </c>
      <c r="AC139" s="90" t="e">
        <f t="shared" si="44"/>
        <v>#DIV/0!</v>
      </c>
      <c r="AD139" s="44">
        <v>0</v>
      </c>
      <c r="AE139" s="90" t="e">
        <f t="shared" si="45"/>
        <v>#DIV/0!</v>
      </c>
      <c r="AF139" s="90"/>
      <c r="AG139" s="44"/>
      <c r="AH139" s="90"/>
      <c r="AI139" s="45" t="e">
        <f t="shared" si="40"/>
        <v>#DIV/0!</v>
      </c>
      <c r="AJ139" s="90"/>
      <c r="AK139" s="45" t="e">
        <f t="shared" si="42"/>
        <v>#DIV/0!</v>
      </c>
    </row>
    <row r="140" spans="1:37" s="43" customFormat="1" ht="11.25" hidden="1">
      <c r="A140" s="41" t="s">
        <v>243</v>
      </c>
      <c r="B140" s="42"/>
      <c r="C140" s="43" t="s">
        <v>244</v>
      </c>
      <c r="D140" s="44"/>
      <c r="E140" s="44"/>
      <c r="F140" s="45"/>
      <c r="G140" s="44"/>
      <c r="H140" s="44"/>
      <c r="I140" s="45"/>
      <c r="J140" s="44"/>
      <c r="K140" s="44">
        <v>8000000</v>
      </c>
      <c r="L140" s="44"/>
      <c r="M140" s="44">
        <f>L140-K140</f>
        <v>-8000000</v>
      </c>
      <c r="N140" s="44"/>
      <c r="O140" s="45"/>
      <c r="P140" s="44"/>
      <c r="Q140" s="45"/>
      <c r="R140" s="45"/>
      <c r="S140" s="45"/>
      <c r="T140" s="44"/>
      <c r="U140" s="44"/>
      <c r="V140" s="44">
        <f t="shared" si="39"/>
        <v>0</v>
      </c>
      <c r="W140" s="44"/>
      <c r="X140" s="44"/>
      <c r="Y140" s="44">
        <v>0</v>
      </c>
      <c r="Z140" s="90"/>
      <c r="AA140" s="90"/>
      <c r="AB140" s="44">
        <v>0</v>
      </c>
      <c r="AC140" s="90" t="e">
        <f t="shared" si="44"/>
        <v>#DIV/0!</v>
      </c>
      <c r="AD140" s="44">
        <v>0</v>
      </c>
      <c r="AE140" s="90" t="e">
        <f t="shared" si="45"/>
        <v>#DIV/0!</v>
      </c>
      <c r="AF140" s="90"/>
      <c r="AG140" s="44"/>
      <c r="AH140" s="90"/>
      <c r="AI140" s="45" t="e">
        <f t="shared" si="40"/>
        <v>#DIV/0!</v>
      </c>
      <c r="AJ140" s="90"/>
      <c r="AK140" s="45" t="e">
        <f t="shared" si="42"/>
        <v>#DIV/0!</v>
      </c>
    </row>
    <row r="141" spans="1:37" s="36" customFormat="1" ht="12.75" customHeight="1" hidden="1">
      <c r="A141" s="35">
        <v>710309</v>
      </c>
      <c r="B141" s="48"/>
      <c r="C141" s="36" t="s">
        <v>245</v>
      </c>
      <c r="D141" s="37"/>
      <c r="E141" s="37"/>
      <c r="F141" s="39"/>
      <c r="G141" s="37"/>
      <c r="H141" s="37"/>
      <c r="I141" s="39"/>
      <c r="J141" s="37"/>
      <c r="K141" s="37"/>
      <c r="L141" s="37"/>
      <c r="M141" s="37"/>
      <c r="N141" s="37"/>
      <c r="O141" s="39"/>
      <c r="P141" s="37"/>
      <c r="Q141" s="39"/>
      <c r="R141" s="39"/>
      <c r="S141" s="39"/>
      <c r="T141" s="37"/>
      <c r="U141" s="37"/>
      <c r="V141" s="37">
        <f t="shared" si="39"/>
        <v>0</v>
      </c>
      <c r="W141" s="37"/>
      <c r="X141" s="37"/>
      <c r="Y141" s="37">
        <v>0</v>
      </c>
      <c r="Z141" s="88"/>
      <c r="AA141" s="88"/>
      <c r="AB141" s="37">
        <v>0</v>
      </c>
      <c r="AC141" s="88" t="e">
        <f t="shared" si="44"/>
        <v>#DIV/0!</v>
      </c>
      <c r="AD141" s="37">
        <v>0</v>
      </c>
      <c r="AE141" s="88" t="e">
        <f t="shared" si="45"/>
        <v>#DIV/0!</v>
      </c>
      <c r="AF141" s="88"/>
      <c r="AG141" s="44"/>
      <c r="AH141" s="88"/>
      <c r="AI141" s="39" t="e">
        <f t="shared" si="40"/>
        <v>#DIV/0!</v>
      </c>
      <c r="AJ141" s="88"/>
      <c r="AK141" s="39" t="e">
        <f t="shared" si="42"/>
        <v>#DIV/0!</v>
      </c>
    </row>
    <row r="142" spans="1:37" s="36" customFormat="1" ht="12.75" customHeight="1" hidden="1">
      <c r="A142" s="35">
        <v>710310</v>
      </c>
      <c r="B142" s="48"/>
      <c r="C142" s="36" t="s">
        <v>246</v>
      </c>
      <c r="D142" s="37"/>
      <c r="E142" s="37"/>
      <c r="F142" s="39"/>
      <c r="G142" s="37"/>
      <c r="H142" s="37"/>
      <c r="I142" s="39"/>
      <c r="J142" s="37"/>
      <c r="K142" s="37"/>
      <c r="L142" s="37"/>
      <c r="M142" s="37"/>
      <c r="N142" s="37"/>
      <c r="O142" s="39"/>
      <c r="P142" s="37"/>
      <c r="Q142" s="39"/>
      <c r="R142" s="39"/>
      <c r="S142" s="39"/>
      <c r="T142" s="37"/>
      <c r="U142" s="37"/>
      <c r="V142" s="37">
        <f t="shared" si="39"/>
        <v>0</v>
      </c>
      <c r="W142" s="37"/>
      <c r="X142" s="37"/>
      <c r="Y142" s="37">
        <v>0</v>
      </c>
      <c r="Z142" s="88"/>
      <c r="AA142" s="88"/>
      <c r="AB142" s="37">
        <v>0</v>
      </c>
      <c r="AC142" s="88" t="e">
        <f t="shared" si="44"/>
        <v>#DIV/0!</v>
      </c>
      <c r="AD142" s="37">
        <v>0</v>
      </c>
      <c r="AE142" s="88" t="e">
        <f t="shared" si="45"/>
        <v>#DIV/0!</v>
      </c>
      <c r="AF142" s="88"/>
      <c r="AG142" s="44"/>
      <c r="AH142" s="88"/>
      <c r="AI142" s="39" t="e">
        <f t="shared" si="40"/>
        <v>#DIV/0!</v>
      </c>
      <c r="AJ142" s="88"/>
      <c r="AK142" s="39" t="e">
        <f t="shared" si="42"/>
        <v>#DIV/0!</v>
      </c>
    </row>
    <row r="143" spans="1:37" s="36" customFormat="1" ht="12.75" customHeight="1">
      <c r="A143" s="35" t="s">
        <v>247</v>
      </c>
      <c r="C143" s="36" t="s">
        <v>248</v>
      </c>
      <c r="D143" s="37"/>
      <c r="E143" s="37"/>
      <c r="F143" s="38"/>
      <c r="G143" s="37"/>
      <c r="H143" s="37">
        <v>83521338</v>
      </c>
      <c r="I143" s="38"/>
      <c r="J143" s="37"/>
      <c r="K143" s="37"/>
      <c r="L143" s="37">
        <f>SUM(L144:L146)</f>
        <v>99000000</v>
      </c>
      <c r="M143" s="37"/>
      <c r="N143" s="37">
        <f>SUM(N144:N146)</f>
        <v>90521097.15</v>
      </c>
      <c r="O143" s="37">
        <f>SUM(O144:O146)</f>
        <v>209.40677461111113</v>
      </c>
      <c r="P143" s="37">
        <f>SUM(P144:P146)</f>
        <v>90000000</v>
      </c>
      <c r="Q143" s="39">
        <f>P143/H143*100</f>
        <v>107.75689441182084</v>
      </c>
      <c r="R143" s="39">
        <f>P143/L143*100</f>
        <v>90.9090909090909</v>
      </c>
      <c r="S143" s="39">
        <f>P143/N143*100</f>
        <v>99.42433624159845</v>
      </c>
      <c r="T143" s="37">
        <f>SUM(T144:T146)</f>
        <v>90500000</v>
      </c>
      <c r="U143" s="37">
        <f>SUM(U144:U146)</f>
        <v>97500000</v>
      </c>
      <c r="V143" s="37">
        <f t="shared" si="39"/>
        <v>7500000</v>
      </c>
      <c r="W143" s="37"/>
      <c r="X143" s="37"/>
      <c r="Y143" s="37">
        <f>SUM(Y144:Y146)</f>
        <v>18297987.220000003</v>
      </c>
      <c r="Z143" s="88">
        <f t="shared" si="43"/>
        <v>20.331096911111114</v>
      </c>
      <c r="AA143" s="88">
        <f>SUM(AA144:AA146)</f>
        <v>0</v>
      </c>
      <c r="AB143" s="37">
        <f>SUM(AB144:AB146)</f>
        <v>22909425.02</v>
      </c>
      <c r="AC143" s="88">
        <f t="shared" si="44"/>
        <v>25.45491668888889</v>
      </c>
      <c r="AD143" s="37">
        <f>SUM(AD144:AD146)</f>
        <v>40566954.16</v>
      </c>
      <c r="AE143" s="88">
        <f t="shared" si="45"/>
        <v>45.074393511111104</v>
      </c>
      <c r="AF143" s="88">
        <f>+AF144+AF145+AF146</f>
        <v>26200063</v>
      </c>
      <c r="AG143" s="37">
        <f>SUM(AG144:AG146)</f>
        <v>107135000</v>
      </c>
      <c r="AH143" s="88">
        <f>SUM(AH144:AH146)</f>
        <v>45578281.54</v>
      </c>
      <c r="AI143" s="39">
        <f t="shared" si="40"/>
        <v>42.54284924627806</v>
      </c>
      <c r="AJ143" s="88">
        <f>SUM(AJ144:AJ146)</f>
        <v>55956685.95</v>
      </c>
      <c r="AK143" s="39">
        <f t="shared" si="42"/>
        <v>52.23007042516451</v>
      </c>
    </row>
    <row r="144" spans="1:37" s="51" customFormat="1" ht="12.75" customHeight="1">
      <c r="A144" s="49" t="s">
        <v>249</v>
      </c>
      <c r="B144" s="50"/>
      <c r="C144" s="51" t="s">
        <v>250</v>
      </c>
      <c r="D144" s="52"/>
      <c r="E144" s="52"/>
      <c r="F144" s="53"/>
      <c r="G144" s="52"/>
      <c r="H144" s="52"/>
      <c r="I144" s="53"/>
      <c r="J144" s="52"/>
      <c r="K144" s="52"/>
      <c r="L144" s="52">
        <v>90000000</v>
      </c>
      <c r="M144" s="52"/>
      <c r="N144" s="52">
        <f>85366097.15</f>
        <v>85366097.15</v>
      </c>
      <c r="O144" s="53">
        <f>N144/L144*100</f>
        <v>94.85121905555556</v>
      </c>
      <c r="P144" s="52">
        <v>90000000</v>
      </c>
      <c r="Q144" s="53"/>
      <c r="R144" s="53"/>
      <c r="S144" s="45">
        <f>P144/N144*100</f>
        <v>105.42827071250262</v>
      </c>
      <c r="T144" s="52">
        <f>90000000-5000000</f>
        <v>85000000</v>
      </c>
      <c r="U144" s="52">
        <f>90000000-5000000</f>
        <v>85000000</v>
      </c>
      <c r="V144" s="52">
        <f t="shared" si="39"/>
        <v>-5000000</v>
      </c>
      <c r="W144" s="52"/>
      <c r="X144" s="52"/>
      <c r="Y144" s="52">
        <v>17296051.28</v>
      </c>
      <c r="Z144" s="92">
        <f t="shared" si="43"/>
        <v>19.217834755555558</v>
      </c>
      <c r="AA144" s="92"/>
      <c r="AB144" s="52">
        <v>20522153.66</v>
      </c>
      <c r="AC144" s="92">
        <f t="shared" si="44"/>
        <v>22.802392955555558</v>
      </c>
      <c r="AD144" s="52">
        <v>35592280.16</v>
      </c>
      <c r="AE144" s="92">
        <f t="shared" si="45"/>
        <v>39.54697795555555</v>
      </c>
      <c r="AF144" s="92">
        <v>22737608</v>
      </c>
      <c r="AG144" s="52">
        <v>85000000</v>
      </c>
      <c r="AH144" s="92">
        <v>39645978.05</v>
      </c>
      <c r="AI144" s="45">
        <f t="shared" si="40"/>
        <v>46.642327117647056</v>
      </c>
      <c r="AJ144" s="92">
        <v>47264280.67</v>
      </c>
      <c r="AK144" s="45">
        <f t="shared" si="42"/>
        <v>55.605036082352946</v>
      </c>
    </row>
    <row r="145" spans="1:37" s="51" customFormat="1" ht="11.25">
      <c r="A145" s="49" t="s">
        <v>251</v>
      </c>
      <c r="B145" s="50"/>
      <c r="C145" s="51" t="s">
        <v>216</v>
      </c>
      <c r="D145" s="52"/>
      <c r="E145" s="52"/>
      <c r="F145" s="53"/>
      <c r="G145" s="52"/>
      <c r="H145" s="52"/>
      <c r="I145" s="53"/>
      <c r="J145" s="52"/>
      <c r="K145" s="52"/>
      <c r="L145" s="52">
        <v>4500000</v>
      </c>
      <c r="M145" s="52"/>
      <c r="N145" s="52">
        <v>5155000</v>
      </c>
      <c r="O145" s="53">
        <f>N145/L145*100</f>
        <v>114.55555555555557</v>
      </c>
      <c r="P145" s="52"/>
      <c r="Q145" s="53"/>
      <c r="R145" s="53"/>
      <c r="S145" s="45">
        <f>P145/N145*100</f>
        <v>0</v>
      </c>
      <c r="T145" s="52">
        <v>5500000</v>
      </c>
      <c r="U145" s="52">
        <v>5500000</v>
      </c>
      <c r="V145" s="52">
        <f t="shared" si="39"/>
        <v>5500000</v>
      </c>
      <c r="W145" s="52"/>
      <c r="X145" s="52"/>
      <c r="Y145" s="52">
        <v>542000</v>
      </c>
      <c r="Z145" s="92"/>
      <c r="AA145" s="92"/>
      <c r="AB145" s="52">
        <v>1799000</v>
      </c>
      <c r="AC145" s="92"/>
      <c r="AD145" s="52">
        <v>2852000</v>
      </c>
      <c r="AE145" s="92"/>
      <c r="AF145" s="92">
        <v>3462455</v>
      </c>
      <c r="AG145" s="52">
        <v>5500000</v>
      </c>
      <c r="AH145" s="92">
        <v>3771000</v>
      </c>
      <c r="AI145" s="45">
        <f t="shared" si="40"/>
        <v>68.56363636363636</v>
      </c>
      <c r="AJ145" s="92">
        <v>4151000</v>
      </c>
      <c r="AK145" s="45">
        <f t="shared" si="42"/>
        <v>75.47272727272727</v>
      </c>
    </row>
    <row r="146" spans="1:37" s="51" customFormat="1" ht="11.25">
      <c r="A146" s="49" t="s">
        <v>252</v>
      </c>
      <c r="B146" s="50"/>
      <c r="C146" s="51" t="s">
        <v>253</v>
      </c>
      <c r="D146" s="52"/>
      <c r="E146" s="52"/>
      <c r="F146" s="53"/>
      <c r="G146" s="52"/>
      <c r="H146" s="52"/>
      <c r="I146" s="53"/>
      <c r="J146" s="52"/>
      <c r="K146" s="52"/>
      <c r="L146" s="52">
        <v>4500000</v>
      </c>
      <c r="M146" s="52"/>
      <c r="N146" s="52"/>
      <c r="O146" s="53">
        <f>N146/L146*100</f>
        <v>0</v>
      </c>
      <c r="P146" s="52"/>
      <c r="Q146" s="53"/>
      <c r="R146" s="53"/>
      <c r="S146" s="45" t="e">
        <f>P146/N146*100</f>
        <v>#DIV/0!</v>
      </c>
      <c r="T146" s="52"/>
      <c r="U146" s="52">
        <v>7000000</v>
      </c>
      <c r="V146" s="52">
        <f t="shared" si="39"/>
        <v>7000000</v>
      </c>
      <c r="W146" s="52"/>
      <c r="X146" s="52"/>
      <c r="Y146" s="52">
        <v>459935.94</v>
      </c>
      <c r="Z146" s="92"/>
      <c r="AA146" s="92"/>
      <c r="AB146" s="52">
        <v>588271.36</v>
      </c>
      <c r="AC146" s="92"/>
      <c r="AD146" s="52">
        <v>2122674</v>
      </c>
      <c r="AE146" s="92"/>
      <c r="AF146" s="92"/>
      <c r="AG146" s="52">
        <v>16635000</v>
      </c>
      <c r="AH146" s="92">
        <v>2161303.49</v>
      </c>
      <c r="AI146" s="45">
        <f t="shared" si="40"/>
        <v>12.992506702735199</v>
      </c>
      <c r="AJ146" s="92">
        <v>4541405.28</v>
      </c>
      <c r="AK146" s="45">
        <f t="shared" si="42"/>
        <v>27.30030225428314</v>
      </c>
    </row>
    <row r="147" spans="1:37" ht="12.75" customHeight="1">
      <c r="A147" s="28"/>
      <c r="C147" s="36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6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89"/>
      <c r="AA147" s="89"/>
      <c r="AB147" s="25"/>
      <c r="AC147" s="89"/>
      <c r="AD147" s="25"/>
      <c r="AE147" s="89"/>
      <c r="AF147" s="89"/>
      <c r="AH147" s="89"/>
      <c r="AI147" s="26"/>
      <c r="AJ147" s="89"/>
      <c r="AK147" s="26"/>
    </row>
    <row r="148" spans="1:37" s="31" customFormat="1" ht="12.75">
      <c r="A148" s="30">
        <v>711</v>
      </c>
      <c r="C148" s="31" t="s">
        <v>254</v>
      </c>
      <c r="D148" s="32">
        <f>D149</f>
        <v>50000</v>
      </c>
      <c r="E148" s="32">
        <f>E149</f>
        <v>-12766</v>
      </c>
      <c r="F148" s="22">
        <f>E148/D148*100</f>
        <v>-25.532</v>
      </c>
      <c r="G148" s="32">
        <f>G149</f>
        <v>548000</v>
      </c>
      <c r="H148" s="32">
        <f>H149</f>
        <v>259955</v>
      </c>
      <c r="I148" s="22">
        <f>H148/G148*100</f>
        <v>47.43704379562044</v>
      </c>
      <c r="J148" s="32">
        <f>J149</f>
        <v>0</v>
      </c>
      <c r="K148" s="32">
        <f>K149</f>
        <v>30000000</v>
      </c>
      <c r="L148" s="32">
        <f>L149</f>
        <v>500000</v>
      </c>
      <c r="M148" s="33">
        <f>L148-K148</f>
        <v>-29500000</v>
      </c>
      <c r="N148" s="32">
        <f>N149</f>
        <v>46482</v>
      </c>
      <c r="O148" s="34">
        <f>N148/L148*100</f>
        <v>9.2964</v>
      </c>
      <c r="P148" s="32">
        <f>P149</f>
        <v>500000</v>
      </c>
      <c r="Q148" s="22">
        <f>P148/H148*100</f>
        <v>192.34098209305458</v>
      </c>
      <c r="R148" s="22">
        <f>P148/L148*100</f>
        <v>100</v>
      </c>
      <c r="S148" s="22">
        <f>P148/N148*100</f>
        <v>1075.6852114797125</v>
      </c>
      <c r="T148" s="32">
        <f>T149</f>
        <v>500000</v>
      </c>
      <c r="U148" s="32">
        <f>U149</f>
        <v>500000</v>
      </c>
      <c r="V148" s="33">
        <f>U148-P148</f>
        <v>0</v>
      </c>
      <c r="W148" s="33"/>
      <c r="X148" s="33"/>
      <c r="Y148" s="32">
        <f>Y149</f>
        <v>4633.21</v>
      </c>
      <c r="Z148" s="87">
        <f t="shared" si="43"/>
        <v>0.9266420000000001</v>
      </c>
      <c r="AA148" s="87">
        <f>AA149</f>
        <v>0</v>
      </c>
      <c r="AB148" s="32">
        <f>AB149</f>
        <v>13152.34</v>
      </c>
      <c r="AC148" s="87">
        <f t="shared" si="44"/>
        <v>2.630468</v>
      </c>
      <c r="AD148" s="32">
        <f>AD149</f>
        <v>17935.01</v>
      </c>
      <c r="AE148" s="87">
        <f t="shared" si="45"/>
        <v>3.5870019999999996</v>
      </c>
      <c r="AF148" s="87">
        <f>AF149</f>
        <v>18981</v>
      </c>
      <c r="AG148" s="32">
        <f>AG149</f>
        <v>500000</v>
      </c>
      <c r="AH148" s="87">
        <f>AH149</f>
        <v>2818714.04</v>
      </c>
      <c r="AI148" s="22">
        <f>+AH148/AG148*100</f>
        <v>563.7428080000001</v>
      </c>
      <c r="AJ148" s="87">
        <f>AJ149</f>
        <v>9239454.370000001</v>
      </c>
      <c r="AK148" s="22">
        <f t="shared" si="42"/>
        <v>1847.8908740000002</v>
      </c>
    </row>
    <row r="149" spans="1:37" s="31" customFormat="1" ht="12.75">
      <c r="A149" s="30">
        <v>7111</v>
      </c>
      <c r="C149" s="31" t="s">
        <v>255</v>
      </c>
      <c r="D149" s="32">
        <v>50000</v>
      </c>
      <c r="E149" s="32">
        <v>-12766</v>
      </c>
      <c r="F149" s="34">
        <f>E149/D149*100</f>
        <v>-25.532</v>
      </c>
      <c r="G149" s="32">
        <v>548000</v>
      </c>
      <c r="H149" s="32">
        <f>SUM(H150:H151)</f>
        <v>259955</v>
      </c>
      <c r="I149" s="32">
        <f>SUM(I150:I151)</f>
        <v>0</v>
      </c>
      <c r="J149" s="32">
        <f>SUM(J150:J151)</f>
        <v>0</v>
      </c>
      <c r="K149" s="32">
        <f>SUM(K150:K151)</f>
        <v>30000000</v>
      </c>
      <c r="L149" s="32">
        <f>SUM(L150:L151)</f>
        <v>500000</v>
      </c>
      <c r="M149" s="33">
        <f>L149-K149</f>
        <v>-29500000</v>
      </c>
      <c r="N149" s="32">
        <f>SUM(N150:N151)</f>
        <v>46482</v>
      </c>
      <c r="O149" s="34">
        <f>N149/L149*100</f>
        <v>9.2964</v>
      </c>
      <c r="P149" s="32">
        <f>SUM(P150:P151)</f>
        <v>500000</v>
      </c>
      <c r="Q149" s="22">
        <f>P149/H149*100</f>
        <v>192.34098209305458</v>
      </c>
      <c r="R149" s="22">
        <f>P149/L149*100</f>
        <v>100</v>
      </c>
      <c r="S149" s="22">
        <f>P149/N149*100</f>
        <v>1075.6852114797125</v>
      </c>
      <c r="T149" s="32">
        <f>SUM(T150:T151)</f>
        <v>500000</v>
      </c>
      <c r="U149" s="32">
        <f>SUM(U150:U151)</f>
        <v>500000</v>
      </c>
      <c r="V149" s="33">
        <f>U149-P149</f>
        <v>0</v>
      </c>
      <c r="W149" s="33"/>
      <c r="X149" s="33"/>
      <c r="Y149" s="32">
        <f>SUM(Y150:Y151)</f>
        <v>4633.21</v>
      </c>
      <c r="Z149" s="87">
        <f t="shared" si="43"/>
        <v>0.9266420000000001</v>
      </c>
      <c r="AA149" s="87">
        <f>SUM(AA150:AA151)</f>
        <v>0</v>
      </c>
      <c r="AB149" s="32">
        <f>SUM(AB150:AB151)</f>
        <v>13152.34</v>
      </c>
      <c r="AC149" s="87">
        <f t="shared" si="44"/>
        <v>2.630468</v>
      </c>
      <c r="AD149" s="32">
        <f>SUM(AD150:AD151)</f>
        <v>17935.01</v>
      </c>
      <c r="AE149" s="87">
        <f t="shared" si="45"/>
        <v>3.5870019999999996</v>
      </c>
      <c r="AF149" s="87">
        <f>SUM(AF150:AF151)</f>
        <v>18981</v>
      </c>
      <c r="AG149" s="32">
        <f>SUM(AG150:AG151)</f>
        <v>500000</v>
      </c>
      <c r="AH149" s="87">
        <f>SUM(AH150:AH151)</f>
        <v>2818714.04</v>
      </c>
      <c r="AI149" s="22">
        <f>+AH149/AG149*100</f>
        <v>563.7428080000001</v>
      </c>
      <c r="AJ149" s="87">
        <f>SUM(AJ150:AJ151)</f>
        <v>9239454.370000001</v>
      </c>
      <c r="AK149" s="22">
        <f t="shared" si="42"/>
        <v>1847.8908740000002</v>
      </c>
    </row>
    <row r="150" spans="1:37" s="36" customFormat="1" ht="12.75" customHeight="1">
      <c r="A150" s="35" t="s">
        <v>256</v>
      </c>
      <c r="C150" s="36" t="s">
        <v>255</v>
      </c>
      <c r="D150" s="37"/>
      <c r="E150" s="37"/>
      <c r="F150" s="39"/>
      <c r="G150" s="37"/>
      <c r="H150" s="37">
        <v>259955</v>
      </c>
      <c r="I150" s="39"/>
      <c r="J150" s="37"/>
      <c r="K150" s="37">
        <v>30000000</v>
      </c>
      <c r="L150" s="37">
        <v>500000</v>
      </c>
      <c r="M150" s="37">
        <f>L150-K150</f>
        <v>-29500000</v>
      </c>
      <c r="N150" s="37">
        <v>46482</v>
      </c>
      <c r="O150" s="39">
        <f>N150/L150*100</f>
        <v>9.2964</v>
      </c>
      <c r="P150" s="37">
        <v>500000</v>
      </c>
      <c r="Q150" s="39">
        <f>P150/H150*100</f>
        <v>192.34098209305458</v>
      </c>
      <c r="R150" s="39">
        <f>P150/L150*100</f>
        <v>100</v>
      </c>
      <c r="S150" s="39">
        <f>P150/N150*100</f>
        <v>1075.6852114797125</v>
      </c>
      <c r="T150" s="37">
        <v>500000</v>
      </c>
      <c r="U150" s="37">
        <v>500000</v>
      </c>
      <c r="V150" s="37">
        <f>U150-P150</f>
        <v>0</v>
      </c>
      <c r="W150" s="37"/>
      <c r="X150" s="37"/>
      <c r="Y150" s="37">
        <v>4633.21</v>
      </c>
      <c r="Z150" s="88">
        <f t="shared" si="43"/>
        <v>0.9266420000000001</v>
      </c>
      <c r="AA150" s="88"/>
      <c r="AB150" s="37">
        <v>13152.34</v>
      </c>
      <c r="AC150" s="88">
        <f t="shared" si="44"/>
        <v>2.630468</v>
      </c>
      <c r="AD150" s="37">
        <v>17935.01</v>
      </c>
      <c r="AE150" s="88">
        <f t="shared" si="45"/>
        <v>3.5870019999999996</v>
      </c>
      <c r="AF150" s="88">
        <v>18981</v>
      </c>
      <c r="AG150" s="37">
        <v>500000</v>
      </c>
      <c r="AH150" s="88">
        <v>2818714.04</v>
      </c>
      <c r="AI150" s="39">
        <f>+AH150/AG150*100</f>
        <v>563.7428080000001</v>
      </c>
      <c r="AJ150" s="88">
        <f>2818714.04+6420740.33</f>
        <v>9239454.370000001</v>
      </c>
      <c r="AK150" s="39">
        <f t="shared" si="42"/>
        <v>1847.8908740000002</v>
      </c>
    </row>
    <row r="151" spans="1:37" s="36" customFormat="1" ht="12.75" customHeight="1" hidden="1">
      <c r="A151" s="35" t="s">
        <v>257</v>
      </c>
      <c r="C151" s="36" t="s">
        <v>258</v>
      </c>
      <c r="D151" s="37"/>
      <c r="E151" s="37"/>
      <c r="F151" s="39"/>
      <c r="G151" s="37"/>
      <c r="H151" s="37"/>
      <c r="I151" s="39"/>
      <c r="J151" s="37"/>
      <c r="K151" s="37"/>
      <c r="L151" s="37"/>
      <c r="M151" s="37"/>
      <c r="N151" s="37"/>
      <c r="O151" s="39"/>
      <c r="P151" s="37"/>
      <c r="Q151" s="37"/>
      <c r="R151" s="37"/>
      <c r="S151" s="37"/>
      <c r="T151" s="37"/>
      <c r="U151" s="37"/>
      <c r="V151" s="37">
        <f>U151-P151</f>
        <v>0</v>
      </c>
      <c r="W151" s="37"/>
      <c r="X151" s="37"/>
      <c r="Y151" s="37"/>
      <c r="Z151" s="88"/>
      <c r="AA151" s="88"/>
      <c r="AB151" s="37"/>
      <c r="AC151" s="88" t="e">
        <f t="shared" si="44"/>
        <v>#DIV/0!</v>
      </c>
      <c r="AD151" s="37"/>
      <c r="AE151" s="88" t="e">
        <f t="shared" si="45"/>
        <v>#DIV/0!</v>
      </c>
      <c r="AF151" s="88"/>
      <c r="AG151" s="37"/>
      <c r="AH151" s="88"/>
      <c r="AI151" s="39" t="e">
        <f>+AH151/AG151*100</f>
        <v>#DIV/0!</v>
      </c>
      <c r="AJ151" s="88"/>
      <c r="AK151" s="39" t="e">
        <f t="shared" si="42"/>
        <v>#DIV/0!</v>
      </c>
    </row>
    <row r="152" spans="1:37" ht="12.75" customHeight="1">
      <c r="A152" s="28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6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89"/>
      <c r="AA152" s="89"/>
      <c r="AB152" s="25"/>
      <c r="AC152" s="89"/>
      <c r="AD152" s="25"/>
      <c r="AE152" s="89"/>
      <c r="AF152" s="89"/>
      <c r="AH152" s="89"/>
      <c r="AI152" s="26"/>
      <c r="AJ152" s="89"/>
      <c r="AK152" s="26"/>
    </row>
    <row r="153" spans="1:37" s="31" customFormat="1" ht="12.75">
      <c r="A153" s="30">
        <v>712</v>
      </c>
      <c r="C153" s="31" t="s">
        <v>259</v>
      </c>
      <c r="D153" s="32">
        <f>D154</f>
        <v>14121500</v>
      </c>
      <c r="E153" s="32">
        <f>E154</f>
        <v>16801283</v>
      </c>
      <c r="F153" s="22">
        <f>E153/D153*100</f>
        <v>118.97661721488511</v>
      </c>
      <c r="G153" s="32">
        <f>G154</f>
        <v>26300000</v>
      </c>
      <c r="H153" s="32">
        <f>H154</f>
        <v>40232522</v>
      </c>
      <c r="I153" s="22">
        <f>H153/G153*100</f>
        <v>152.97536882129276</v>
      </c>
      <c r="J153" s="32">
        <f>J154</f>
        <v>36600000</v>
      </c>
      <c r="K153" s="32">
        <f>K154</f>
        <v>36600000</v>
      </c>
      <c r="L153" s="32">
        <f>L154</f>
        <v>36000000</v>
      </c>
      <c r="M153" s="33">
        <f>L153-K153</f>
        <v>-600000</v>
      </c>
      <c r="N153" s="32">
        <f>N154</f>
        <v>35677339</v>
      </c>
      <c r="O153" s="34">
        <f>N153/L153*100</f>
        <v>99.10371944444445</v>
      </c>
      <c r="P153" s="32">
        <f>P154</f>
        <v>38300000</v>
      </c>
      <c r="Q153" s="22">
        <f>P153/H153*100</f>
        <v>95.19661730378225</v>
      </c>
      <c r="R153" s="22">
        <f>P153/L153*100</f>
        <v>106.38888888888889</v>
      </c>
      <c r="S153" s="22">
        <f>P153/N153*100</f>
        <v>107.35105552574984</v>
      </c>
      <c r="T153" s="32">
        <f>T154</f>
        <v>38300000</v>
      </c>
      <c r="U153" s="32">
        <f>U154</f>
        <v>38300000</v>
      </c>
      <c r="V153" s="33">
        <f>U153-P153</f>
        <v>0</v>
      </c>
      <c r="W153" s="33"/>
      <c r="X153" s="33"/>
      <c r="Y153" s="32">
        <f>Y154</f>
        <v>1675211.24</v>
      </c>
      <c r="Z153" s="87">
        <f t="shared" si="43"/>
        <v>4.373919686684073</v>
      </c>
      <c r="AA153" s="87">
        <f>AA154</f>
        <v>0</v>
      </c>
      <c r="AB153" s="32">
        <f>AB154</f>
        <v>3116768.79</v>
      </c>
      <c r="AC153" s="87">
        <f t="shared" si="44"/>
        <v>8.137777519582245</v>
      </c>
      <c r="AD153" s="32">
        <f>AD154</f>
        <v>10685067.59</v>
      </c>
      <c r="AE153" s="87">
        <f t="shared" si="45"/>
        <v>27.898348798955613</v>
      </c>
      <c r="AF153" s="87">
        <f>AF154</f>
        <v>16639417</v>
      </c>
      <c r="AG153" s="32">
        <f>AG154</f>
        <v>38300000</v>
      </c>
      <c r="AH153" s="87">
        <f>AH154</f>
        <v>13479708.05</v>
      </c>
      <c r="AI153" s="22">
        <f>+AH153/AG153*100</f>
        <v>35.19506018276763</v>
      </c>
      <c r="AJ153" s="87">
        <f>AJ154</f>
        <v>19534579.37</v>
      </c>
      <c r="AK153" s="22">
        <f t="shared" si="42"/>
        <v>51.00412368146215</v>
      </c>
    </row>
    <row r="154" spans="1:37" s="31" customFormat="1" ht="12.75">
      <c r="A154" s="30">
        <v>7120</v>
      </c>
      <c r="C154" s="31" t="s">
        <v>260</v>
      </c>
      <c r="D154" s="32">
        <f>SUM(D155:D157)</f>
        <v>14121500</v>
      </c>
      <c r="E154" s="32">
        <f>SUM(E155:E157)</f>
        <v>16801283</v>
      </c>
      <c r="F154" s="34">
        <f>E154/D154*100</f>
        <v>118.97661721488511</v>
      </c>
      <c r="G154" s="32">
        <f>SUM(G155:G157)</f>
        <v>26300000</v>
      </c>
      <c r="H154" s="32">
        <f>SUM(H155:H157)</f>
        <v>40232522</v>
      </c>
      <c r="I154" s="34">
        <f>H154/G154*100</f>
        <v>152.97536882129276</v>
      </c>
      <c r="J154" s="32">
        <f>SUM(J155:J157)</f>
        <v>36600000</v>
      </c>
      <c r="K154" s="32">
        <f>SUM(K155:K157)</f>
        <v>36600000</v>
      </c>
      <c r="L154" s="32">
        <f>SUM(L155:L157)</f>
        <v>36000000</v>
      </c>
      <c r="M154" s="33">
        <f>L154-K154</f>
        <v>-600000</v>
      </c>
      <c r="N154" s="32">
        <f>SUM(N155:N157)</f>
        <v>35677339</v>
      </c>
      <c r="O154" s="34">
        <f>N154/L154*100</f>
        <v>99.10371944444445</v>
      </c>
      <c r="P154" s="32">
        <f>SUM(P155:P157)</f>
        <v>38300000</v>
      </c>
      <c r="Q154" s="22">
        <f>P154/H154*100</f>
        <v>95.19661730378225</v>
      </c>
      <c r="R154" s="22">
        <f>P154/L154*100</f>
        <v>106.38888888888889</v>
      </c>
      <c r="S154" s="22">
        <f>P154/N154*100</f>
        <v>107.35105552574984</v>
      </c>
      <c r="T154" s="32">
        <f>SUM(T155:T157)</f>
        <v>38300000</v>
      </c>
      <c r="U154" s="32">
        <f>SUM(U155:U157)</f>
        <v>38300000</v>
      </c>
      <c r="V154" s="33">
        <f>U154-P154</f>
        <v>0</v>
      </c>
      <c r="W154" s="33"/>
      <c r="X154" s="33"/>
      <c r="Y154" s="32">
        <f>SUM(Y155:Y157)</f>
        <v>1675211.24</v>
      </c>
      <c r="Z154" s="87">
        <f t="shared" si="43"/>
        <v>4.373919686684073</v>
      </c>
      <c r="AA154" s="87">
        <f>SUM(AA155:AA157)</f>
        <v>0</v>
      </c>
      <c r="AB154" s="32">
        <f>SUM(AB155:AB157)</f>
        <v>3116768.79</v>
      </c>
      <c r="AC154" s="87">
        <f t="shared" si="44"/>
        <v>8.137777519582245</v>
      </c>
      <c r="AD154" s="32">
        <f>SUM(AD155:AD157)</f>
        <v>10685067.59</v>
      </c>
      <c r="AE154" s="87">
        <f t="shared" si="45"/>
        <v>27.898348798955613</v>
      </c>
      <c r="AF154" s="87">
        <f>SUM(AF155:AF158)</f>
        <v>16639417</v>
      </c>
      <c r="AG154" s="32">
        <f>SUM(AG155:AG158)</f>
        <v>38300000</v>
      </c>
      <c r="AH154" s="87">
        <f>SUM(AH155:AH157)</f>
        <v>13479708.05</v>
      </c>
      <c r="AI154" s="22">
        <f>+AH154/AG154*100</f>
        <v>35.19506018276763</v>
      </c>
      <c r="AJ154" s="87">
        <f>SUM(AJ155:AJ157)</f>
        <v>19534579.37</v>
      </c>
      <c r="AK154" s="22">
        <f t="shared" si="42"/>
        <v>51.00412368146215</v>
      </c>
    </row>
    <row r="155" spans="1:37" s="36" customFormat="1" ht="12.75" customHeight="1">
      <c r="A155" s="35" t="s">
        <v>261</v>
      </c>
      <c r="C155" s="36" t="s">
        <v>262</v>
      </c>
      <c r="D155" s="37">
        <v>13121500</v>
      </c>
      <c r="E155" s="37">
        <v>16090155</v>
      </c>
      <c r="F155" s="38">
        <f>E155/D155*100</f>
        <v>122.62435697138285</v>
      </c>
      <c r="G155" s="37">
        <v>25000000</v>
      </c>
      <c r="H155" s="37">
        <v>38779381</v>
      </c>
      <c r="I155" s="38">
        <f>H155/G155*100</f>
        <v>155.117524</v>
      </c>
      <c r="J155" s="37">
        <v>35000000</v>
      </c>
      <c r="K155" s="37">
        <v>34800000</v>
      </c>
      <c r="L155" s="37">
        <v>34800000</v>
      </c>
      <c r="M155" s="37">
        <f>L155-K155</f>
        <v>0</v>
      </c>
      <c r="N155" s="37">
        <v>34191969</v>
      </c>
      <c r="O155" s="39">
        <f>N155/L155*100</f>
        <v>98.25278448275863</v>
      </c>
      <c r="P155" s="37">
        <v>37000000</v>
      </c>
      <c r="Q155" s="39">
        <f>P155/H155*100</f>
        <v>95.41152810046142</v>
      </c>
      <c r="R155" s="39">
        <f>P155/L155*100</f>
        <v>106.32183908045978</v>
      </c>
      <c r="S155" s="39">
        <f>P155/N155*100</f>
        <v>108.21254546645149</v>
      </c>
      <c r="T155" s="37">
        <v>37000000</v>
      </c>
      <c r="U155" s="37">
        <v>37000000</v>
      </c>
      <c r="V155" s="37">
        <f>U155-P155</f>
        <v>0</v>
      </c>
      <c r="W155" s="37"/>
      <c r="X155" s="37"/>
      <c r="Y155" s="37">
        <v>1611411.61</v>
      </c>
      <c r="Z155" s="88">
        <f t="shared" si="43"/>
        <v>4.355166513513513</v>
      </c>
      <c r="AA155" s="88"/>
      <c r="AB155" s="37">
        <v>3008605.89</v>
      </c>
      <c r="AC155" s="88">
        <f t="shared" si="44"/>
        <v>8.131367270270271</v>
      </c>
      <c r="AD155" s="37">
        <v>10386763.59</v>
      </c>
      <c r="AE155" s="88">
        <f t="shared" si="45"/>
        <v>28.072334027027026</v>
      </c>
      <c r="AF155" s="88">
        <v>15975519</v>
      </c>
      <c r="AG155" s="37">
        <v>37000000</v>
      </c>
      <c r="AH155" s="88">
        <v>13110585.83</v>
      </c>
      <c r="AI155" s="39">
        <f>+AH155/AG155*100</f>
        <v>35.43401575675676</v>
      </c>
      <c r="AJ155" s="88">
        <v>19143902.05</v>
      </c>
      <c r="AK155" s="39">
        <f t="shared" si="42"/>
        <v>51.74027581081081</v>
      </c>
    </row>
    <row r="156" spans="1:37" s="36" customFormat="1" ht="12.75" customHeight="1">
      <c r="A156" s="35" t="s">
        <v>263</v>
      </c>
      <c r="C156" s="36" t="s">
        <v>264</v>
      </c>
      <c r="D156" s="37"/>
      <c r="E156" s="37"/>
      <c r="F156" s="38"/>
      <c r="G156" s="37"/>
      <c r="H156" s="37">
        <v>0</v>
      </c>
      <c r="I156" s="38"/>
      <c r="J156" s="37"/>
      <c r="K156" s="37">
        <v>200000</v>
      </c>
      <c r="L156" s="37">
        <v>200000</v>
      </c>
      <c r="M156" s="37">
        <f>L156-K156</f>
        <v>0</v>
      </c>
      <c r="N156" s="37">
        <v>459535</v>
      </c>
      <c r="O156" s="39">
        <f>N156/L156*100</f>
        <v>229.76749999999998</v>
      </c>
      <c r="P156" s="37">
        <v>200000</v>
      </c>
      <c r="Q156" s="39"/>
      <c r="R156" s="39">
        <f>P156/L156*100</f>
        <v>100</v>
      </c>
      <c r="S156" s="39">
        <f>P156/N156*100</f>
        <v>43.52225619376108</v>
      </c>
      <c r="T156" s="37">
        <v>200000</v>
      </c>
      <c r="U156" s="37">
        <v>200000</v>
      </c>
      <c r="V156" s="37">
        <f>U156-P156</f>
        <v>0</v>
      </c>
      <c r="W156" s="37"/>
      <c r="X156" s="37"/>
      <c r="Y156" s="37">
        <v>0</v>
      </c>
      <c r="Z156" s="88">
        <f t="shared" si="43"/>
        <v>0</v>
      </c>
      <c r="AA156" s="88"/>
      <c r="AB156" s="37">
        <v>0</v>
      </c>
      <c r="AC156" s="88">
        <f t="shared" si="44"/>
        <v>0</v>
      </c>
      <c r="AD156" s="37">
        <v>19927.8</v>
      </c>
      <c r="AE156" s="88">
        <f t="shared" si="45"/>
        <v>9.963899999999999</v>
      </c>
      <c r="AF156" s="88">
        <v>80907</v>
      </c>
      <c r="AG156" s="37">
        <v>200000</v>
      </c>
      <c r="AH156" s="88">
        <v>19927.8</v>
      </c>
      <c r="AI156" s="39">
        <f>+AH156/AG156*100</f>
        <v>9.963899999999999</v>
      </c>
      <c r="AJ156" s="88">
        <v>19927.8</v>
      </c>
      <c r="AK156" s="39">
        <f t="shared" si="42"/>
        <v>9.963899999999999</v>
      </c>
    </row>
    <row r="157" spans="1:37" s="36" customFormat="1" ht="12.75" customHeight="1">
      <c r="A157" s="35" t="s">
        <v>265</v>
      </c>
      <c r="C157" s="36" t="s">
        <v>266</v>
      </c>
      <c r="D157" s="37">
        <v>1000000</v>
      </c>
      <c r="E157" s="37">
        <v>711128</v>
      </c>
      <c r="F157" s="38">
        <f>E157/D157*100</f>
        <v>71.1128</v>
      </c>
      <c r="G157" s="37">
        <v>1300000</v>
      </c>
      <c r="H157" s="37">
        <v>1453141</v>
      </c>
      <c r="I157" s="38">
        <f>H157/G157*100</f>
        <v>111.78007692307692</v>
      </c>
      <c r="J157" s="37">
        <v>1600000</v>
      </c>
      <c r="K157" s="37">
        <v>1600000</v>
      </c>
      <c r="L157" s="37">
        <v>1000000</v>
      </c>
      <c r="M157" s="37">
        <f>L157-K157</f>
        <v>-600000</v>
      </c>
      <c r="N157" s="37">
        <v>1025835</v>
      </c>
      <c r="O157" s="39">
        <f>N157/L157*100</f>
        <v>102.5835</v>
      </c>
      <c r="P157" s="37">
        <v>1100000</v>
      </c>
      <c r="Q157" s="39">
        <f>P157/H157*100</f>
        <v>75.69809123822121</v>
      </c>
      <c r="R157" s="39">
        <f>P157/L157*100</f>
        <v>110.00000000000001</v>
      </c>
      <c r="S157" s="39">
        <f>P157/N157*100</f>
        <v>107.22972017917112</v>
      </c>
      <c r="T157" s="37">
        <v>1100000</v>
      </c>
      <c r="U157" s="37">
        <v>1100000</v>
      </c>
      <c r="V157" s="37">
        <f>U157-P157</f>
        <v>0</v>
      </c>
      <c r="W157" s="37"/>
      <c r="X157" s="37"/>
      <c r="Y157" s="37">
        <v>63799.63</v>
      </c>
      <c r="Z157" s="88">
        <f t="shared" si="43"/>
        <v>5.799966363636363</v>
      </c>
      <c r="AA157" s="88"/>
      <c r="AB157" s="37">
        <v>108162.9</v>
      </c>
      <c r="AC157" s="88">
        <f t="shared" si="44"/>
        <v>9.832990909090908</v>
      </c>
      <c r="AD157" s="37">
        <v>278376.2</v>
      </c>
      <c r="AE157" s="88">
        <f t="shared" si="45"/>
        <v>25.306927272727275</v>
      </c>
      <c r="AF157" s="88">
        <v>582991</v>
      </c>
      <c r="AG157" s="37">
        <v>1100000</v>
      </c>
      <c r="AH157" s="88">
        <v>349194.42</v>
      </c>
      <c r="AI157" s="39">
        <f>+AH157/AG157*100</f>
        <v>31.74494727272727</v>
      </c>
      <c r="AJ157" s="88">
        <v>370749.52</v>
      </c>
      <c r="AK157" s="39">
        <f t="shared" si="42"/>
        <v>33.70450181818182</v>
      </c>
    </row>
    <row r="158" spans="1:37" ht="12.75" customHeight="1">
      <c r="A158" s="28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6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89"/>
      <c r="AA158" s="89"/>
      <c r="AB158" s="25"/>
      <c r="AC158" s="89"/>
      <c r="AD158" s="25"/>
      <c r="AE158" s="89"/>
      <c r="AF158" s="89"/>
      <c r="AH158" s="89"/>
      <c r="AI158" s="26"/>
      <c r="AJ158" s="89"/>
      <c r="AK158" s="26"/>
    </row>
    <row r="159" spans="1:37" s="31" customFormat="1" ht="12.75">
      <c r="A159" s="30">
        <v>713</v>
      </c>
      <c r="C159" s="31" t="s">
        <v>267</v>
      </c>
      <c r="D159" s="32">
        <f>D160</f>
        <v>1454443000</v>
      </c>
      <c r="E159" s="32">
        <f>E160</f>
        <v>1425537000</v>
      </c>
      <c r="F159" s="22">
        <f>E159/D159*100</f>
        <v>98.0125725105762</v>
      </c>
      <c r="G159" s="32">
        <f>G160</f>
        <v>1174678000</v>
      </c>
      <c r="H159" s="32">
        <f>H160</f>
        <v>16166744</v>
      </c>
      <c r="I159" s="22">
        <f>H159/G159*100</f>
        <v>1.3762702629997328</v>
      </c>
      <c r="J159" s="32">
        <f>J160</f>
        <v>0</v>
      </c>
      <c r="K159" s="32">
        <f>K160</f>
        <v>19400000</v>
      </c>
      <c r="L159" s="32">
        <f>L160</f>
        <v>23930000</v>
      </c>
      <c r="M159" s="33">
        <f>L159-K159</f>
        <v>4530000</v>
      </c>
      <c r="N159" s="32">
        <f>N160</f>
        <v>28107664.060000002</v>
      </c>
      <c r="O159" s="34">
        <f aca="true" t="shared" si="46" ref="O159:O173">N159/L159*100</f>
        <v>117.45785231926453</v>
      </c>
      <c r="P159" s="32">
        <f>P160</f>
        <v>22000000</v>
      </c>
      <c r="Q159" s="22">
        <f aca="true" t="shared" si="47" ref="Q159:Q173">P159/H159*100</f>
        <v>136.08182327870102</v>
      </c>
      <c r="R159" s="22">
        <f>P159/L159*100</f>
        <v>91.9348098620978</v>
      </c>
      <c r="S159" s="22">
        <f>P159/N159*100</f>
        <v>78.27046727553638</v>
      </c>
      <c r="T159" s="32">
        <f>T160</f>
        <v>27000000</v>
      </c>
      <c r="U159" s="32">
        <f>U160</f>
        <v>27000000</v>
      </c>
      <c r="V159" s="33">
        <f aca="true" t="shared" si="48" ref="V159:V184">U159-P159</f>
        <v>5000000</v>
      </c>
      <c r="W159" s="33"/>
      <c r="X159" s="33"/>
      <c r="Y159" s="32">
        <f>Y160</f>
        <v>913899.91</v>
      </c>
      <c r="Z159" s="87">
        <f t="shared" si="43"/>
        <v>4.154090500000001</v>
      </c>
      <c r="AA159" s="87">
        <f>AA160</f>
        <v>0</v>
      </c>
      <c r="AB159" s="32">
        <f>AB160</f>
        <v>2532987.4699999997</v>
      </c>
      <c r="AC159" s="87">
        <f t="shared" si="44"/>
        <v>11.513579409090909</v>
      </c>
      <c r="AD159" s="32">
        <f>AD160</f>
        <v>7580487.910000001</v>
      </c>
      <c r="AE159" s="87">
        <f t="shared" si="45"/>
        <v>34.45676322727273</v>
      </c>
      <c r="AF159" s="87">
        <f>AF160</f>
        <v>8234801</v>
      </c>
      <c r="AG159" s="32">
        <f>AG160</f>
        <v>27000000</v>
      </c>
      <c r="AH159" s="87">
        <f>AH160</f>
        <v>10169314.18</v>
      </c>
      <c r="AI159" s="22">
        <f>+AH159/AG159*100</f>
        <v>37.66412659259259</v>
      </c>
      <c r="AJ159" s="87">
        <f>AJ160</f>
        <v>12465042.08</v>
      </c>
      <c r="AK159" s="22">
        <f t="shared" si="42"/>
        <v>46.16682251851852</v>
      </c>
    </row>
    <row r="160" spans="1:37" s="31" customFormat="1" ht="12.75">
      <c r="A160" s="30">
        <v>7130</v>
      </c>
      <c r="C160" s="31" t="s">
        <v>268</v>
      </c>
      <c r="D160" s="32">
        <f>D161+D170+D171</f>
        <v>1454443000</v>
      </c>
      <c r="E160" s="32">
        <f>E161+E170+E171</f>
        <v>1425537000</v>
      </c>
      <c r="F160" s="34">
        <f>E160/D160*100</f>
        <v>98.0125725105762</v>
      </c>
      <c r="G160" s="32">
        <f aca="true" t="shared" si="49" ref="G160:L160">G161+G170+G171</f>
        <v>1174678000</v>
      </c>
      <c r="H160" s="32">
        <f t="shared" si="49"/>
        <v>16166744</v>
      </c>
      <c r="I160" s="32">
        <f t="shared" si="49"/>
        <v>0</v>
      </c>
      <c r="J160" s="32">
        <f t="shared" si="49"/>
        <v>0</v>
      </c>
      <c r="K160" s="32">
        <f t="shared" si="49"/>
        <v>19400000</v>
      </c>
      <c r="L160" s="32">
        <f t="shared" si="49"/>
        <v>23930000</v>
      </c>
      <c r="M160" s="33">
        <f>L160-K160</f>
        <v>4530000</v>
      </c>
      <c r="N160" s="32">
        <f>N161+N170+N171</f>
        <v>28107664.060000002</v>
      </c>
      <c r="O160" s="34">
        <f t="shared" si="46"/>
        <v>117.45785231926453</v>
      </c>
      <c r="P160" s="32">
        <f>P161+P170+P171</f>
        <v>22000000</v>
      </c>
      <c r="Q160" s="22">
        <f t="shared" si="47"/>
        <v>136.08182327870102</v>
      </c>
      <c r="R160" s="22">
        <f>P160/L160*100</f>
        <v>91.9348098620978</v>
      </c>
      <c r="S160" s="22">
        <f>P160/N160*100</f>
        <v>78.27046727553638</v>
      </c>
      <c r="T160" s="32">
        <f>T161+T170+T171</f>
        <v>27000000</v>
      </c>
      <c r="U160" s="32">
        <f>U161+U170+U171</f>
        <v>27000000</v>
      </c>
      <c r="V160" s="33">
        <f t="shared" si="48"/>
        <v>5000000</v>
      </c>
      <c r="W160" s="33"/>
      <c r="X160" s="33"/>
      <c r="Y160" s="32">
        <f>Y161+Y170+Y171</f>
        <v>913899.91</v>
      </c>
      <c r="Z160" s="87">
        <f t="shared" si="43"/>
        <v>4.154090500000001</v>
      </c>
      <c r="AA160" s="87">
        <f>AA161+AA170+AA171</f>
        <v>0</v>
      </c>
      <c r="AB160" s="32">
        <f>AB161+AB170+AB171</f>
        <v>2532987.4699999997</v>
      </c>
      <c r="AC160" s="87">
        <f t="shared" si="44"/>
        <v>11.513579409090909</v>
      </c>
      <c r="AD160" s="32">
        <f>AD161+AD170+AD171</f>
        <v>7580487.910000001</v>
      </c>
      <c r="AE160" s="87">
        <f t="shared" si="45"/>
        <v>34.45676322727273</v>
      </c>
      <c r="AF160" s="87">
        <f>AF161+AF170+AF171</f>
        <v>8234801</v>
      </c>
      <c r="AG160" s="32">
        <f>AG161+AG170+AG171</f>
        <v>27000000</v>
      </c>
      <c r="AH160" s="87">
        <f>AH161+AH170+AH171</f>
        <v>10169314.18</v>
      </c>
      <c r="AI160" s="22">
        <f>+AH160/AG160*100</f>
        <v>37.66412659259259</v>
      </c>
      <c r="AJ160" s="87">
        <f>AJ161+AJ170+AJ171</f>
        <v>12465042.08</v>
      </c>
      <c r="AK160" s="22">
        <f t="shared" si="42"/>
        <v>46.16682251851852</v>
      </c>
    </row>
    <row r="161" spans="1:37" s="36" customFormat="1" ht="11.25" hidden="1">
      <c r="A161" s="35" t="s">
        <v>269</v>
      </c>
      <c r="C161" s="36" t="s">
        <v>268</v>
      </c>
      <c r="D161" s="37"/>
      <c r="E161" s="37"/>
      <c r="F161" s="39"/>
      <c r="G161" s="37"/>
      <c r="H161" s="37">
        <f>SUM(H162:H169)</f>
        <v>0</v>
      </c>
      <c r="I161" s="37">
        <f>SUM(I162:I169)</f>
        <v>0</v>
      </c>
      <c r="J161" s="37">
        <f>SUM(J162:J169)</f>
        <v>0</v>
      </c>
      <c r="K161" s="37">
        <f>SUM(K162:K169)</f>
        <v>0</v>
      </c>
      <c r="L161" s="37">
        <f>SUM(L162:L169)</f>
        <v>0</v>
      </c>
      <c r="M161" s="37">
        <f>L161-K161</f>
        <v>0</v>
      </c>
      <c r="N161" s="37">
        <f>SUM(N162:N169)</f>
        <v>0</v>
      </c>
      <c r="O161" s="39" t="e">
        <f t="shared" si="46"/>
        <v>#DIV/0!</v>
      </c>
      <c r="P161" s="37">
        <f>SUM(P162:P169)</f>
        <v>0</v>
      </c>
      <c r="Q161" s="39" t="e">
        <f t="shared" si="47"/>
        <v>#DIV/0!</v>
      </c>
      <c r="R161" s="39"/>
      <c r="S161" s="39"/>
      <c r="T161" s="37">
        <f>SUM(T162:T169)</f>
        <v>0</v>
      </c>
      <c r="U161" s="37">
        <f>SUM(U162:U169)</f>
        <v>0</v>
      </c>
      <c r="V161" s="37">
        <f t="shared" si="48"/>
        <v>0</v>
      </c>
      <c r="W161" s="37"/>
      <c r="X161" s="37"/>
      <c r="Y161" s="37">
        <f>SUM(Y162:Y169)</f>
        <v>0</v>
      </c>
      <c r="Z161" s="88"/>
      <c r="AA161" s="88">
        <f>SUM(AA162:AA169)</f>
        <v>0</v>
      </c>
      <c r="AB161" s="37">
        <f>SUM(AB162:AB169)</f>
        <v>0</v>
      </c>
      <c r="AC161" s="88" t="e">
        <f t="shared" si="44"/>
        <v>#DIV/0!</v>
      </c>
      <c r="AD161" s="37">
        <f>SUM(AD162:AD169)</f>
        <v>0</v>
      </c>
      <c r="AE161" s="88" t="e">
        <f t="shared" si="45"/>
        <v>#DIV/0!</v>
      </c>
      <c r="AF161" s="88">
        <f>SUM(AF166:AF169)</f>
        <v>0</v>
      </c>
      <c r="AG161" s="37">
        <f>SUM(AG166:AG169)</f>
        <v>0</v>
      </c>
      <c r="AH161" s="88">
        <v>0</v>
      </c>
      <c r="AI161" s="39"/>
      <c r="AJ161" s="88">
        <f>SUM(AJ162:AJ169)</f>
        <v>0</v>
      </c>
      <c r="AK161" s="39" t="e">
        <f t="shared" si="42"/>
        <v>#DIV/0!</v>
      </c>
    </row>
    <row r="162" spans="1:37" s="43" customFormat="1" ht="12.75" hidden="1">
      <c r="A162" s="41"/>
      <c r="B162" s="42" t="s">
        <v>270</v>
      </c>
      <c r="D162" s="44"/>
      <c r="E162" s="44"/>
      <c r="F162" s="45"/>
      <c r="G162" s="44"/>
      <c r="H162" s="44"/>
      <c r="I162" s="45"/>
      <c r="J162" s="44"/>
      <c r="K162" s="44"/>
      <c r="L162" s="44"/>
      <c r="M162" s="44"/>
      <c r="N162" s="44"/>
      <c r="O162" s="45" t="e">
        <f t="shared" si="46"/>
        <v>#DIV/0!</v>
      </c>
      <c r="P162" s="44"/>
      <c r="Q162" s="45" t="e">
        <f t="shared" si="47"/>
        <v>#DIV/0!</v>
      </c>
      <c r="R162" s="45"/>
      <c r="S162" s="45"/>
      <c r="T162" s="44"/>
      <c r="U162" s="44"/>
      <c r="V162" s="44">
        <f t="shared" si="48"/>
        <v>0</v>
      </c>
      <c r="W162" s="44"/>
      <c r="X162" s="44"/>
      <c r="Y162" s="44"/>
      <c r="Z162" s="90"/>
      <c r="AA162" s="90"/>
      <c r="AB162" s="44"/>
      <c r="AC162" s="90" t="e">
        <f t="shared" si="44"/>
        <v>#DIV/0!</v>
      </c>
      <c r="AD162" s="44"/>
      <c r="AE162" s="90" t="e">
        <f t="shared" si="45"/>
        <v>#DIV/0!</v>
      </c>
      <c r="AF162" s="90"/>
      <c r="AG162" s="25"/>
      <c r="AH162" s="90"/>
      <c r="AI162" s="45" t="e">
        <f aca="true" t="shared" si="50" ref="AI162:AI179">+AH162/AG162*100</f>
        <v>#DIV/0!</v>
      </c>
      <c r="AJ162" s="90"/>
      <c r="AK162" s="45" t="e">
        <f t="shared" si="42"/>
        <v>#DIV/0!</v>
      </c>
    </row>
    <row r="163" spans="1:37" s="43" customFormat="1" ht="11.25" hidden="1">
      <c r="A163" s="41"/>
      <c r="B163" s="42" t="s">
        <v>271</v>
      </c>
      <c r="D163" s="44"/>
      <c r="E163" s="44"/>
      <c r="F163" s="45"/>
      <c r="G163" s="44"/>
      <c r="H163" s="44"/>
      <c r="I163" s="45"/>
      <c r="J163" s="44"/>
      <c r="K163" s="44"/>
      <c r="L163" s="44"/>
      <c r="M163" s="44"/>
      <c r="N163" s="44"/>
      <c r="O163" s="45" t="e">
        <f t="shared" si="46"/>
        <v>#DIV/0!</v>
      </c>
      <c r="P163" s="44"/>
      <c r="Q163" s="45" t="e">
        <f t="shared" si="47"/>
        <v>#DIV/0!</v>
      </c>
      <c r="R163" s="45"/>
      <c r="S163" s="45"/>
      <c r="T163" s="44"/>
      <c r="U163" s="44"/>
      <c r="V163" s="44">
        <f t="shared" si="48"/>
        <v>0</v>
      </c>
      <c r="W163" s="44"/>
      <c r="X163" s="44"/>
      <c r="Y163" s="44"/>
      <c r="Z163" s="90"/>
      <c r="AA163" s="90"/>
      <c r="AB163" s="44"/>
      <c r="AC163" s="90" t="e">
        <f t="shared" si="44"/>
        <v>#DIV/0!</v>
      </c>
      <c r="AD163" s="44"/>
      <c r="AE163" s="90" t="e">
        <f t="shared" si="45"/>
        <v>#DIV/0!</v>
      </c>
      <c r="AF163" s="90"/>
      <c r="AH163" s="90"/>
      <c r="AI163" s="45" t="e">
        <f t="shared" si="50"/>
        <v>#DIV/0!</v>
      </c>
      <c r="AJ163" s="90"/>
      <c r="AK163" s="45" t="e">
        <f t="shared" si="42"/>
        <v>#DIV/0!</v>
      </c>
    </row>
    <row r="164" spans="1:37" s="43" customFormat="1" ht="11.25" hidden="1">
      <c r="A164" s="41"/>
      <c r="B164" s="42" t="s">
        <v>272</v>
      </c>
      <c r="D164" s="44"/>
      <c r="E164" s="44"/>
      <c r="F164" s="45"/>
      <c r="G164" s="44"/>
      <c r="H164" s="44"/>
      <c r="I164" s="45"/>
      <c r="J164" s="44"/>
      <c r="K164" s="44"/>
      <c r="L164" s="44"/>
      <c r="M164" s="44"/>
      <c r="N164" s="44"/>
      <c r="O164" s="45" t="e">
        <f t="shared" si="46"/>
        <v>#DIV/0!</v>
      </c>
      <c r="P164" s="44"/>
      <c r="Q164" s="45" t="e">
        <f t="shared" si="47"/>
        <v>#DIV/0!</v>
      </c>
      <c r="R164" s="45"/>
      <c r="S164" s="45"/>
      <c r="T164" s="44"/>
      <c r="U164" s="44"/>
      <c r="V164" s="44">
        <f t="shared" si="48"/>
        <v>0</v>
      </c>
      <c r="W164" s="44"/>
      <c r="X164" s="44"/>
      <c r="Y164" s="44"/>
      <c r="Z164" s="90"/>
      <c r="AA164" s="90"/>
      <c r="AB164" s="44"/>
      <c r="AC164" s="90" t="e">
        <f t="shared" si="44"/>
        <v>#DIV/0!</v>
      </c>
      <c r="AD164" s="44"/>
      <c r="AE164" s="90" t="e">
        <f t="shared" si="45"/>
        <v>#DIV/0!</v>
      </c>
      <c r="AF164" s="90"/>
      <c r="AH164" s="90"/>
      <c r="AI164" s="45" t="e">
        <f t="shared" si="50"/>
        <v>#DIV/0!</v>
      </c>
      <c r="AJ164" s="90"/>
      <c r="AK164" s="45" t="e">
        <f t="shared" si="42"/>
        <v>#DIV/0!</v>
      </c>
    </row>
    <row r="165" spans="1:37" s="43" customFormat="1" ht="11.25" hidden="1">
      <c r="A165" s="41"/>
      <c r="B165" s="42" t="s">
        <v>273</v>
      </c>
      <c r="D165" s="44"/>
      <c r="E165" s="44"/>
      <c r="F165" s="45"/>
      <c r="G165" s="44"/>
      <c r="H165" s="44"/>
      <c r="I165" s="45"/>
      <c r="J165" s="44"/>
      <c r="K165" s="44"/>
      <c r="L165" s="44"/>
      <c r="M165" s="44"/>
      <c r="N165" s="44"/>
      <c r="O165" s="45" t="e">
        <f t="shared" si="46"/>
        <v>#DIV/0!</v>
      </c>
      <c r="P165" s="44"/>
      <c r="Q165" s="45" t="e">
        <f t="shared" si="47"/>
        <v>#DIV/0!</v>
      </c>
      <c r="R165" s="45"/>
      <c r="S165" s="45"/>
      <c r="T165" s="44"/>
      <c r="U165" s="44"/>
      <c r="V165" s="44">
        <f t="shared" si="48"/>
        <v>0</v>
      </c>
      <c r="W165" s="44"/>
      <c r="X165" s="44"/>
      <c r="Y165" s="44"/>
      <c r="Z165" s="90"/>
      <c r="AA165" s="90"/>
      <c r="AB165" s="44"/>
      <c r="AC165" s="90" t="e">
        <f t="shared" si="44"/>
        <v>#DIV/0!</v>
      </c>
      <c r="AD165" s="44"/>
      <c r="AE165" s="90" t="e">
        <f t="shared" si="45"/>
        <v>#DIV/0!</v>
      </c>
      <c r="AF165" s="90"/>
      <c r="AH165" s="90"/>
      <c r="AI165" s="45" t="e">
        <f t="shared" si="50"/>
        <v>#DIV/0!</v>
      </c>
      <c r="AJ165" s="90"/>
      <c r="AK165" s="45" t="e">
        <f t="shared" si="42"/>
        <v>#DIV/0!</v>
      </c>
    </row>
    <row r="166" spans="1:37" s="43" customFormat="1" ht="11.25" hidden="1">
      <c r="A166" s="41"/>
      <c r="B166" s="42" t="s">
        <v>274</v>
      </c>
      <c r="D166" s="44"/>
      <c r="E166" s="44"/>
      <c r="F166" s="45"/>
      <c r="G166" s="44"/>
      <c r="H166" s="44"/>
      <c r="I166" s="45"/>
      <c r="J166" s="44"/>
      <c r="K166" s="44"/>
      <c r="L166" s="44"/>
      <c r="M166" s="44"/>
      <c r="N166" s="44"/>
      <c r="O166" s="45" t="e">
        <f t="shared" si="46"/>
        <v>#DIV/0!</v>
      </c>
      <c r="P166" s="44"/>
      <c r="Q166" s="45" t="e">
        <f t="shared" si="47"/>
        <v>#DIV/0!</v>
      </c>
      <c r="R166" s="45"/>
      <c r="S166" s="45"/>
      <c r="T166" s="44"/>
      <c r="U166" s="44"/>
      <c r="V166" s="44">
        <f t="shared" si="48"/>
        <v>0</v>
      </c>
      <c r="W166" s="44"/>
      <c r="X166" s="44"/>
      <c r="Y166" s="44"/>
      <c r="Z166" s="90"/>
      <c r="AA166" s="90"/>
      <c r="AB166" s="44"/>
      <c r="AC166" s="90" t="e">
        <f t="shared" si="44"/>
        <v>#DIV/0!</v>
      </c>
      <c r="AD166" s="44"/>
      <c r="AE166" s="90" t="e">
        <f t="shared" si="45"/>
        <v>#DIV/0!</v>
      </c>
      <c r="AF166" s="90"/>
      <c r="AG166" s="44"/>
      <c r="AH166" s="90"/>
      <c r="AI166" s="45" t="e">
        <f t="shared" si="50"/>
        <v>#DIV/0!</v>
      </c>
      <c r="AJ166" s="90"/>
      <c r="AK166" s="45" t="e">
        <f t="shared" si="42"/>
        <v>#DIV/0!</v>
      </c>
    </row>
    <row r="167" spans="1:37" s="43" customFormat="1" ht="11.25" hidden="1">
      <c r="A167" s="41"/>
      <c r="B167" s="42" t="s">
        <v>275</v>
      </c>
      <c r="D167" s="44"/>
      <c r="E167" s="44"/>
      <c r="F167" s="45"/>
      <c r="G167" s="44"/>
      <c r="H167" s="44"/>
      <c r="I167" s="45"/>
      <c r="J167" s="44"/>
      <c r="K167" s="44"/>
      <c r="L167" s="44"/>
      <c r="M167" s="44"/>
      <c r="N167" s="44"/>
      <c r="O167" s="45" t="e">
        <f t="shared" si="46"/>
        <v>#DIV/0!</v>
      </c>
      <c r="P167" s="44"/>
      <c r="Q167" s="45" t="e">
        <f t="shared" si="47"/>
        <v>#DIV/0!</v>
      </c>
      <c r="R167" s="45"/>
      <c r="S167" s="45"/>
      <c r="T167" s="44"/>
      <c r="U167" s="44"/>
      <c r="V167" s="44">
        <f t="shared" si="48"/>
        <v>0</v>
      </c>
      <c r="W167" s="44"/>
      <c r="X167" s="44"/>
      <c r="Y167" s="44"/>
      <c r="Z167" s="90"/>
      <c r="AA167" s="90"/>
      <c r="AB167" s="44"/>
      <c r="AC167" s="90" t="e">
        <f t="shared" si="44"/>
        <v>#DIV/0!</v>
      </c>
      <c r="AD167" s="44"/>
      <c r="AE167" s="90" t="e">
        <f t="shared" si="45"/>
        <v>#DIV/0!</v>
      </c>
      <c r="AF167" s="90"/>
      <c r="AG167" s="44"/>
      <c r="AH167" s="90"/>
      <c r="AI167" s="45" t="e">
        <f t="shared" si="50"/>
        <v>#DIV/0!</v>
      </c>
      <c r="AJ167" s="90"/>
      <c r="AK167" s="45" t="e">
        <f t="shared" si="42"/>
        <v>#DIV/0!</v>
      </c>
    </row>
    <row r="168" spans="1:37" s="43" customFormat="1" ht="11.25" hidden="1">
      <c r="A168" s="41"/>
      <c r="B168" s="42" t="s">
        <v>276</v>
      </c>
      <c r="D168" s="44"/>
      <c r="E168" s="44"/>
      <c r="F168" s="45"/>
      <c r="G168" s="44"/>
      <c r="H168" s="44"/>
      <c r="I168" s="45"/>
      <c r="J168" s="44"/>
      <c r="K168" s="44"/>
      <c r="L168" s="44"/>
      <c r="M168" s="44"/>
      <c r="N168" s="44"/>
      <c r="O168" s="45" t="e">
        <f t="shared" si="46"/>
        <v>#DIV/0!</v>
      </c>
      <c r="P168" s="44"/>
      <c r="Q168" s="45" t="e">
        <f t="shared" si="47"/>
        <v>#DIV/0!</v>
      </c>
      <c r="R168" s="45"/>
      <c r="S168" s="45"/>
      <c r="T168" s="44"/>
      <c r="U168" s="44"/>
      <c r="V168" s="44">
        <f t="shared" si="48"/>
        <v>0</v>
      </c>
      <c r="W168" s="44"/>
      <c r="X168" s="44"/>
      <c r="Y168" s="44"/>
      <c r="Z168" s="90"/>
      <c r="AA168" s="90"/>
      <c r="AB168" s="44"/>
      <c r="AC168" s="90" t="e">
        <f t="shared" si="44"/>
        <v>#DIV/0!</v>
      </c>
      <c r="AD168" s="44"/>
      <c r="AE168" s="90" t="e">
        <f t="shared" si="45"/>
        <v>#DIV/0!</v>
      </c>
      <c r="AF168" s="90"/>
      <c r="AG168" s="44"/>
      <c r="AH168" s="90"/>
      <c r="AI168" s="45" t="e">
        <f t="shared" si="50"/>
        <v>#DIV/0!</v>
      </c>
      <c r="AJ168" s="90"/>
      <c r="AK168" s="45" t="e">
        <f t="shared" si="42"/>
        <v>#DIV/0!</v>
      </c>
    </row>
    <row r="169" spans="1:37" s="43" customFormat="1" ht="11.25" hidden="1">
      <c r="A169" s="41"/>
      <c r="B169" s="42" t="s">
        <v>277</v>
      </c>
      <c r="D169" s="44"/>
      <c r="E169" s="44"/>
      <c r="F169" s="45"/>
      <c r="G169" s="44"/>
      <c r="H169" s="44"/>
      <c r="I169" s="45"/>
      <c r="J169" s="44"/>
      <c r="K169" s="44"/>
      <c r="L169" s="44"/>
      <c r="M169" s="44"/>
      <c r="N169" s="44"/>
      <c r="O169" s="45" t="e">
        <f t="shared" si="46"/>
        <v>#DIV/0!</v>
      </c>
      <c r="P169" s="44"/>
      <c r="Q169" s="45" t="e">
        <f t="shared" si="47"/>
        <v>#DIV/0!</v>
      </c>
      <c r="R169" s="45"/>
      <c r="S169" s="45"/>
      <c r="T169" s="44"/>
      <c r="U169" s="44"/>
      <c r="V169" s="44">
        <f t="shared" si="48"/>
        <v>0</v>
      </c>
      <c r="W169" s="44"/>
      <c r="X169" s="44"/>
      <c r="Y169" s="44"/>
      <c r="Z169" s="90"/>
      <c r="AA169" s="90"/>
      <c r="AB169" s="44"/>
      <c r="AC169" s="90" t="e">
        <f t="shared" si="44"/>
        <v>#DIV/0!</v>
      </c>
      <c r="AD169" s="44"/>
      <c r="AE169" s="90" t="e">
        <f t="shared" si="45"/>
        <v>#DIV/0!</v>
      </c>
      <c r="AF169" s="90"/>
      <c r="AG169" s="44"/>
      <c r="AH169" s="90"/>
      <c r="AI169" s="45" t="e">
        <f t="shared" si="50"/>
        <v>#DIV/0!</v>
      </c>
      <c r="AJ169" s="90"/>
      <c r="AK169" s="45" t="e">
        <f t="shared" si="42"/>
        <v>#DIV/0!</v>
      </c>
    </row>
    <row r="170" spans="1:37" s="36" customFormat="1" ht="12.75" customHeight="1">
      <c r="A170" s="35" t="s">
        <v>278</v>
      </c>
      <c r="C170" s="36" t="s">
        <v>279</v>
      </c>
      <c r="D170" s="37"/>
      <c r="E170" s="37"/>
      <c r="F170" s="39"/>
      <c r="G170" s="37"/>
      <c r="H170" s="37">
        <v>1083845</v>
      </c>
      <c r="I170" s="39"/>
      <c r="J170" s="37"/>
      <c r="K170" s="37">
        <v>1300000</v>
      </c>
      <c r="L170" s="37">
        <v>1300000</v>
      </c>
      <c r="M170" s="37">
        <f>L170-K170</f>
        <v>0</v>
      </c>
      <c r="N170" s="37">
        <v>1102205.13</v>
      </c>
      <c r="O170" s="39">
        <f t="shared" si="46"/>
        <v>84.78501</v>
      </c>
      <c r="P170" s="37">
        <v>1300000</v>
      </c>
      <c r="Q170" s="39">
        <f t="shared" si="47"/>
        <v>119.9433498332326</v>
      </c>
      <c r="R170" s="39">
        <f>P170/L170*100</f>
        <v>100</v>
      </c>
      <c r="S170" s="39">
        <f aca="true" t="shared" si="51" ref="S170:S184">P170/N170*100</f>
        <v>117.94537737272191</v>
      </c>
      <c r="T170" s="37">
        <v>1300000</v>
      </c>
      <c r="U170" s="37">
        <v>1300000</v>
      </c>
      <c r="V170" s="37">
        <f t="shared" si="48"/>
        <v>0</v>
      </c>
      <c r="W170" s="37"/>
      <c r="X170" s="37"/>
      <c r="Y170" s="37">
        <v>0</v>
      </c>
      <c r="Z170" s="88">
        <f t="shared" si="43"/>
        <v>0</v>
      </c>
      <c r="AA170" s="88"/>
      <c r="AB170" s="37">
        <v>0</v>
      </c>
      <c r="AC170" s="88">
        <f t="shared" si="44"/>
        <v>0</v>
      </c>
      <c r="AD170" s="37">
        <v>0</v>
      </c>
      <c r="AE170" s="88">
        <f t="shared" si="45"/>
        <v>0</v>
      </c>
      <c r="AF170" s="88">
        <v>208753</v>
      </c>
      <c r="AG170" s="37">
        <v>1300000</v>
      </c>
      <c r="AH170" s="88">
        <v>29500</v>
      </c>
      <c r="AI170" s="39">
        <f t="shared" si="50"/>
        <v>2.269230769230769</v>
      </c>
      <c r="AJ170" s="88">
        <v>377000</v>
      </c>
      <c r="AK170" s="39">
        <f t="shared" si="42"/>
        <v>28.999999999999996</v>
      </c>
    </row>
    <row r="171" spans="1:37" s="36" customFormat="1" ht="12.75" customHeight="1">
      <c r="A171" s="35" t="s">
        <v>280</v>
      </c>
      <c r="C171" s="36" t="s">
        <v>281</v>
      </c>
      <c r="D171" s="37">
        <f>SUM(D172:D184)</f>
        <v>1454443000</v>
      </c>
      <c r="E171" s="37">
        <f>SUM(E172:E184)</f>
        <v>1425537000</v>
      </c>
      <c r="F171" s="39"/>
      <c r="G171" s="37">
        <f>SUM(G172:G184)</f>
        <v>1174678000</v>
      </c>
      <c r="H171" s="37">
        <f>SUM(H172:H184)</f>
        <v>15082899</v>
      </c>
      <c r="I171" s="37">
        <f>SUM(I172:I173)</f>
        <v>0</v>
      </c>
      <c r="J171" s="37">
        <f>SUM(J172:J173)</f>
        <v>0</v>
      </c>
      <c r="K171" s="37">
        <f>SUM(K172:K173)</f>
        <v>18100000</v>
      </c>
      <c r="L171" s="37">
        <f>SUM(L172:L184)</f>
        <v>22630000</v>
      </c>
      <c r="M171" s="37">
        <f>L171-K171</f>
        <v>4530000</v>
      </c>
      <c r="N171" s="37">
        <f>SUM(N172:N184)</f>
        <v>27005458.930000003</v>
      </c>
      <c r="O171" s="39">
        <f t="shared" si="46"/>
        <v>119.33477211665932</v>
      </c>
      <c r="P171" s="37">
        <f>SUM(P172:P184)</f>
        <v>20700000</v>
      </c>
      <c r="Q171" s="39">
        <f t="shared" si="47"/>
        <v>137.2415210099862</v>
      </c>
      <c r="R171" s="39">
        <f>P171/L171*100</f>
        <v>91.47149801148917</v>
      </c>
      <c r="S171" s="39">
        <f t="shared" si="51"/>
        <v>76.65116913456578</v>
      </c>
      <c r="T171" s="37">
        <f>SUM(T172:T184)</f>
        <v>25700000</v>
      </c>
      <c r="U171" s="37">
        <f>SUM(U172:U184)</f>
        <v>25700000</v>
      </c>
      <c r="V171" s="37">
        <f t="shared" si="48"/>
        <v>5000000</v>
      </c>
      <c r="W171" s="37"/>
      <c r="X171" s="37"/>
      <c r="Y171" s="37">
        <f>SUM(Y172:Y184)</f>
        <v>913899.91</v>
      </c>
      <c r="Z171" s="88">
        <f t="shared" si="43"/>
        <v>4.414975410628019</v>
      </c>
      <c r="AA171" s="88">
        <f>SUM(AA172:AA184)</f>
        <v>0</v>
      </c>
      <c r="AB171" s="37">
        <f>SUM(AB172:AB184)</f>
        <v>2532987.4699999997</v>
      </c>
      <c r="AC171" s="88">
        <f t="shared" si="44"/>
        <v>12.236654444444444</v>
      </c>
      <c r="AD171" s="37">
        <f>SUM(AD172:AD184)</f>
        <v>7580487.910000001</v>
      </c>
      <c r="AE171" s="88">
        <f t="shared" si="45"/>
        <v>36.62071454106281</v>
      </c>
      <c r="AF171" s="88">
        <f>SUM(AF172:AF184)</f>
        <v>8026048</v>
      </c>
      <c r="AG171" s="37">
        <f>SUM(AG172:AG184)</f>
        <v>25700000</v>
      </c>
      <c r="AH171" s="88">
        <f>SUM(AH172:AH184)</f>
        <v>10139814.18</v>
      </c>
      <c r="AI171" s="39">
        <f t="shared" si="50"/>
        <v>39.45452988326848</v>
      </c>
      <c r="AJ171" s="88">
        <f>SUM(AJ172:AJ184)</f>
        <v>12088042.08</v>
      </c>
      <c r="AK171" s="39">
        <f t="shared" si="42"/>
        <v>47.03518319066148</v>
      </c>
    </row>
    <row r="172" spans="1:37" s="43" customFormat="1" ht="12.75" customHeight="1">
      <c r="A172" s="41" t="s">
        <v>282</v>
      </c>
      <c r="B172" s="42"/>
      <c r="C172" s="43" t="s">
        <v>283</v>
      </c>
      <c r="D172" s="44"/>
      <c r="E172" s="44"/>
      <c r="F172" s="45"/>
      <c r="G172" s="44"/>
      <c r="H172" s="44">
        <v>7027296</v>
      </c>
      <c r="I172" s="45"/>
      <c r="J172" s="44"/>
      <c r="K172" s="44">
        <v>10100000</v>
      </c>
      <c r="L172" s="44">
        <v>8330000</v>
      </c>
      <c r="M172" s="44">
        <f>L172-K172</f>
        <v>-1770000</v>
      </c>
      <c r="N172" s="44">
        <v>6971546.19</v>
      </c>
      <c r="O172" s="45">
        <f t="shared" si="46"/>
        <v>83.69203109243698</v>
      </c>
      <c r="P172" s="44">
        <v>10700000</v>
      </c>
      <c r="Q172" s="45">
        <f t="shared" si="47"/>
        <v>152.26340259468222</v>
      </c>
      <c r="R172" s="45">
        <f>P172/L172*100</f>
        <v>128.45138055222088</v>
      </c>
      <c r="S172" s="45">
        <f t="shared" si="51"/>
        <v>153.48101709988094</v>
      </c>
      <c r="T172" s="44">
        <v>10700000</v>
      </c>
      <c r="U172" s="44">
        <v>10700000</v>
      </c>
      <c r="V172" s="44">
        <f t="shared" si="48"/>
        <v>0</v>
      </c>
      <c r="W172" s="44"/>
      <c r="X172" s="44"/>
      <c r="Y172" s="44">
        <v>513395.82</v>
      </c>
      <c r="Z172" s="90">
        <f t="shared" si="43"/>
        <v>4.798091775700935</v>
      </c>
      <c r="AA172" s="90"/>
      <c r="AB172" s="44">
        <v>1463819.64</v>
      </c>
      <c r="AC172" s="90">
        <f t="shared" si="44"/>
        <v>13.680557383177568</v>
      </c>
      <c r="AD172" s="44">
        <v>1505731.71</v>
      </c>
      <c r="AE172" s="90">
        <f t="shared" si="45"/>
        <v>14.072258971962617</v>
      </c>
      <c r="AF172" s="90">
        <f>3564170+248192</f>
        <v>3812362</v>
      </c>
      <c r="AG172" s="44">
        <v>10700000</v>
      </c>
      <c r="AH172" s="90">
        <v>3387957.21</v>
      </c>
      <c r="AI172" s="45">
        <f t="shared" si="50"/>
        <v>31.663151495327103</v>
      </c>
      <c r="AJ172" s="90">
        <v>4489136.66</v>
      </c>
      <c r="AK172" s="45">
        <f t="shared" si="42"/>
        <v>41.95454822429907</v>
      </c>
    </row>
    <row r="173" spans="1:37" s="43" customFormat="1" ht="11.25" hidden="1">
      <c r="A173" s="41" t="s">
        <v>284</v>
      </c>
      <c r="B173" s="42"/>
      <c r="C173" s="43" t="s">
        <v>285</v>
      </c>
      <c r="D173" s="44"/>
      <c r="E173" s="44"/>
      <c r="F173" s="45"/>
      <c r="G173" s="44"/>
      <c r="H173" s="44">
        <v>2722189</v>
      </c>
      <c r="I173" s="45"/>
      <c r="J173" s="44"/>
      <c r="K173" s="44">
        <v>8000000</v>
      </c>
      <c r="L173" s="44">
        <v>700000</v>
      </c>
      <c r="M173" s="44">
        <f>L173-K173</f>
        <v>-7300000</v>
      </c>
      <c r="N173" s="44">
        <v>249150.4</v>
      </c>
      <c r="O173" s="45">
        <f t="shared" si="46"/>
        <v>35.592914285714286</v>
      </c>
      <c r="P173" s="44"/>
      <c r="Q173" s="45">
        <f t="shared" si="47"/>
        <v>0</v>
      </c>
      <c r="R173" s="45">
        <f>P173/L173*100</f>
        <v>0</v>
      </c>
      <c r="S173" s="45">
        <f t="shared" si="51"/>
        <v>0</v>
      </c>
      <c r="T173" s="44"/>
      <c r="U173" s="44"/>
      <c r="V173" s="44">
        <f t="shared" si="48"/>
        <v>0</v>
      </c>
      <c r="W173" s="44"/>
      <c r="X173" s="44"/>
      <c r="Y173" s="44">
        <v>0</v>
      </c>
      <c r="Z173" s="90"/>
      <c r="AA173" s="90"/>
      <c r="AB173" s="44">
        <v>0</v>
      </c>
      <c r="AC173" s="90" t="e">
        <f t="shared" si="44"/>
        <v>#DIV/0!</v>
      </c>
      <c r="AD173" s="44">
        <v>0</v>
      </c>
      <c r="AE173" s="90" t="e">
        <f t="shared" si="45"/>
        <v>#DIV/0!</v>
      </c>
      <c r="AF173" s="90"/>
      <c r="AG173" s="44"/>
      <c r="AH173" s="90"/>
      <c r="AI173" s="45" t="e">
        <f t="shared" si="50"/>
        <v>#DIV/0!</v>
      </c>
      <c r="AJ173" s="90"/>
      <c r="AK173" s="45" t="e">
        <f t="shared" si="42"/>
        <v>#DIV/0!</v>
      </c>
    </row>
    <row r="174" spans="1:37" s="43" customFormat="1" ht="11.25">
      <c r="A174" s="41" t="s">
        <v>286</v>
      </c>
      <c r="B174" s="42"/>
      <c r="C174" s="43" t="s">
        <v>287</v>
      </c>
      <c r="D174" s="44"/>
      <c r="E174" s="44"/>
      <c r="F174" s="45"/>
      <c r="G174" s="44"/>
      <c r="H174" s="44"/>
      <c r="I174" s="45"/>
      <c r="J174" s="44"/>
      <c r="K174" s="44"/>
      <c r="L174" s="44"/>
      <c r="M174" s="44"/>
      <c r="N174" s="44">
        <v>4609523.53</v>
      </c>
      <c r="O174" s="45"/>
      <c r="P174" s="44"/>
      <c r="Q174" s="45"/>
      <c r="R174" s="45"/>
      <c r="S174" s="45">
        <f t="shared" si="51"/>
        <v>0</v>
      </c>
      <c r="T174" s="44">
        <v>5000000</v>
      </c>
      <c r="U174" s="44">
        <v>5000000</v>
      </c>
      <c r="V174" s="44">
        <f t="shared" si="48"/>
        <v>5000000</v>
      </c>
      <c r="W174" s="44"/>
      <c r="X174" s="44"/>
      <c r="Y174" s="44">
        <v>0</v>
      </c>
      <c r="Z174" s="90"/>
      <c r="AA174" s="90"/>
      <c r="AB174" s="44">
        <v>0</v>
      </c>
      <c r="AC174" s="90" t="e">
        <f t="shared" si="44"/>
        <v>#DIV/0!</v>
      </c>
      <c r="AD174" s="44">
        <v>3427003.86</v>
      </c>
      <c r="AE174" s="90"/>
      <c r="AF174" s="90"/>
      <c r="AG174" s="44">
        <v>5000000</v>
      </c>
      <c r="AH174" s="90">
        <v>3427003.86</v>
      </c>
      <c r="AI174" s="45">
        <f t="shared" si="50"/>
        <v>68.5400772</v>
      </c>
      <c r="AJ174" s="90">
        <v>3427003.86</v>
      </c>
      <c r="AK174" s="45">
        <f t="shared" si="42"/>
        <v>68.5400772</v>
      </c>
    </row>
    <row r="175" spans="1:37" s="43" customFormat="1" ht="11.25">
      <c r="A175" s="41" t="s">
        <v>288</v>
      </c>
      <c r="B175" s="42"/>
      <c r="C175" s="43" t="s">
        <v>289</v>
      </c>
      <c r="D175" s="44"/>
      <c r="E175" s="44"/>
      <c r="F175" s="45"/>
      <c r="G175" s="44"/>
      <c r="H175" s="44">
        <v>445899</v>
      </c>
      <c r="I175" s="45"/>
      <c r="J175" s="44"/>
      <c r="K175" s="44">
        <v>500000</v>
      </c>
      <c r="L175" s="44">
        <v>500000</v>
      </c>
      <c r="M175" s="44">
        <f aca="true" t="shared" si="52" ref="M175:M184">L175-K175</f>
        <v>0</v>
      </c>
      <c r="N175" s="44">
        <v>151400</v>
      </c>
      <c r="O175" s="45">
        <f aca="true" t="shared" si="53" ref="O175:O184">N175/L175*100</f>
        <v>30.28</v>
      </c>
      <c r="P175" s="44">
        <v>500000</v>
      </c>
      <c r="Q175" s="45">
        <f>P175/H175*100</f>
        <v>112.13301666969426</v>
      </c>
      <c r="R175" s="45">
        <f aca="true" t="shared" si="54" ref="R175:R184">P175/L175*100</f>
        <v>100</v>
      </c>
      <c r="S175" s="45">
        <f t="shared" si="51"/>
        <v>330.25099075297226</v>
      </c>
      <c r="T175" s="44">
        <v>500000</v>
      </c>
      <c r="U175" s="44">
        <v>500000</v>
      </c>
      <c r="V175" s="44">
        <f t="shared" si="48"/>
        <v>0</v>
      </c>
      <c r="W175" s="44"/>
      <c r="X175" s="44"/>
      <c r="Y175" s="44">
        <v>0</v>
      </c>
      <c r="Z175" s="90">
        <f t="shared" si="43"/>
        <v>0</v>
      </c>
      <c r="AA175" s="90"/>
      <c r="AB175" s="44">
        <v>9000</v>
      </c>
      <c r="AC175" s="90">
        <f t="shared" si="44"/>
        <v>1.7999999999999998</v>
      </c>
      <c r="AD175" s="44">
        <v>12000</v>
      </c>
      <c r="AE175" s="90">
        <f t="shared" si="45"/>
        <v>2.4</v>
      </c>
      <c r="AF175" s="90">
        <v>142450</v>
      </c>
      <c r="AG175" s="44">
        <v>500000</v>
      </c>
      <c r="AH175" s="90">
        <v>12000</v>
      </c>
      <c r="AI175" s="45">
        <f t="shared" si="50"/>
        <v>2.4</v>
      </c>
      <c r="AJ175" s="90">
        <v>12000</v>
      </c>
      <c r="AK175" s="45">
        <f t="shared" si="42"/>
        <v>2.4</v>
      </c>
    </row>
    <row r="176" spans="1:37" s="43" customFormat="1" ht="11.25">
      <c r="A176" s="41" t="s">
        <v>290</v>
      </c>
      <c r="B176" s="42"/>
      <c r="C176" s="43" t="s">
        <v>291</v>
      </c>
      <c r="D176" s="44"/>
      <c r="E176" s="44"/>
      <c r="F176" s="45"/>
      <c r="G176" s="44"/>
      <c r="H176" s="44">
        <v>37559</v>
      </c>
      <c r="I176" s="45"/>
      <c r="J176" s="44"/>
      <c r="K176" s="44">
        <v>100000</v>
      </c>
      <c r="L176" s="44">
        <v>500000</v>
      </c>
      <c r="M176" s="44">
        <f t="shared" si="52"/>
        <v>400000</v>
      </c>
      <c r="N176" s="44">
        <v>454648.4</v>
      </c>
      <c r="O176" s="45">
        <f t="shared" si="53"/>
        <v>90.92968</v>
      </c>
      <c r="P176" s="44">
        <v>500000</v>
      </c>
      <c r="Q176" s="45">
        <f>P176/H176*100</f>
        <v>1331.238850874624</v>
      </c>
      <c r="R176" s="45">
        <f t="shared" si="54"/>
        <v>100</v>
      </c>
      <c r="S176" s="45">
        <f t="shared" si="51"/>
        <v>109.97509284097337</v>
      </c>
      <c r="T176" s="44">
        <v>500000</v>
      </c>
      <c r="U176" s="44">
        <v>500000</v>
      </c>
      <c r="V176" s="44">
        <f t="shared" si="48"/>
        <v>0</v>
      </c>
      <c r="W176" s="44"/>
      <c r="X176" s="44"/>
      <c r="Y176" s="44">
        <v>0</v>
      </c>
      <c r="Z176" s="90">
        <f t="shared" si="43"/>
        <v>0</v>
      </c>
      <c r="AA176" s="90"/>
      <c r="AB176" s="44">
        <v>4201.68</v>
      </c>
      <c r="AC176" s="90">
        <f t="shared" si="44"/>
        <v>0.8403360000000001</v>
      </c>
      <c r="AD176" s="44">
        <v>126050.4</v>
      </c>
      <c r="AE176" s="90">
        <f t="shared" si="45"/>
        <v>25.21008</v>
      </c>
      <c r="AF176" s="90">
        <v>396600</v>
      </c>
      <c r="AG176" s="44">
        <v>500000</v>
      </c>
      <c r="AH176" s="90">
        <v>281512.56</v>
      </c>
      <c r="AI176" s="45">
        <f t="shared" si="50"/>
        <v>56.30251200000001</v>
      </c>
      <c r="AJ176" s="90">
        <v>315126</v>
      </c>
      <c r="AK176" s="45">
        <f t="shared" si="42"/>
        <v>63.025200000000005</v>
      </c>
    </row>
    <row r="177" spans="1:37" s="43" customFormat="1" ht="11.25">
      <c r="A177" s="41" t="s">
        <v>292</v>
      </c>
      <c r="B177" s="42"/>
      <c r="C177" s="43" t="s">
        <v>293</v>
      </c>
      <c r="D177" s="44"/>
      <c r="E177" s="44"/>
      <c r="F177" s="45"/>
      <c r="G177" s="44"/>
      <c r="H177" s="44"/>
      <c r="I177" s="45"/>
      <c r="J177" s="44"/>
      <c r="K177" s="44">
        <v>500000</v>
      </c>
      <c r="L177" s="44">
        <v>300000</v>
      </c>
      <c r="M177" s="44">
        <f t="shared" si="52"/>
        <v>-200000</v>
      </c>
      <c r="N177" s="44">
        <v>280000</v>
      </c>
      <c r="O177" s="45">
        <f t="shared" si="53"/>
        <v>93.33333333333333</v>
      </c>
      <c r="P177" s="44">
        <v>500000</v>
      </c>
      <c r="Q177" s="45"/>
      <c r="R177" s="45">
        <f t="shared" si="54"/>
        <v>166.66666666666669</v>
      </c>
      <c r="S177" s="45">
        <f t="shared" si="51"/>
        <v>178.57142857142858</v>
      </c>
      <c r="T177" s="44">
        <v>500000</v>
      </c>
      <c r="U177" s="44">
        <v>500000</v>
      </c>
      <c r="V177" s="44">
        <f t="shared" si="48"/>
        <v>0</v>
      </c>
      <c r="W177" s="44"/>
      <c r="X177" s="44"/>
      <c r="Y177" s="44">
        <v>0</v>
      </c>
      <c r="Z177" s="90">
        <f t="shared" si="43"/>
        <v>0</v>
      </c>
      <c r="AA177" s="90"/>
      <c r="AB177" s="44">
        <v>0</v>
      </c>
      <c r="AC177" s="90">
        <f t="shared" si="44"/>
        <v>0</v>
      </c>
      <c r="AD177" s="44">
        <v>45000</v>
      </c>
      <c r="AE177" s="90">
        <f t="shared" si="45"/>
        <v>9</v>
      </c>
      <c r="AF177" s="90">
        <v>0</v>
      </c>
      <c r="AG177" s="44">
        <v>500000</v>
      </c>
      <c r="AH177" s="90">
        <v>70000</v>
      </c>
      <c r="AI177" s="45">
        <f t="shared" si="50"/>
        <v>14.000000000000002</v>
      </c>
      <c r="AJ177" s="90">
        <v>70000</v>
      </c>
      <c r="AK177" s="45">
        <f t="shared" si="42"/>
        <v>14.000000000000002</v>
      </c>
    </row>
    <row r="178" spans="1:37" s="43" customFormat="1" ht="11.25">
      <c r="A178" s="41" t="s">
        <v>294</v>
      </c>
      <c r="B178" s="42"/>
      <c r="C178" s="43" t="s">
        <v>295</v>
      </c>
      <c r="D178" s="44"/>
      <c r="E178" s="44"/>
      <c r="F178" s="45"/>
      <c r="G178" s="44"/>
      <c r="H178" s="44">
        <v>1268960</v>
      </c>
      <c r="I178" s="45"/>
      <c r="J178" s="44"/>
      <c r="K178" s="44">
        <v>1500000</v>
      </c>
      <c r="L178" s="44">
        <v>1500000</v>
      </c>
      <c r="M178" s="44">
        <f t="shared" si="52"/>
        <v>0</v>
      </c>
      <c r="N178" s="44">
        <v>1811268.8</v>
      </c>
      <c r="O178" s="45">
        <f t="shared" si="53"/>
        <v>120.75125333333334</v>
      </c>
      <c r="P178" s="44">
        <v>500000</v>
      </c>
      <c r="Q178" s="45">
        <f>P178/H178*100</f>
        <v>39.40234522758795</v>
      </c>
      <c r="R178" s="45">
        <f t="shared" si="54"/>
        <v>33.33333333333333</v>
      </c>
      <c r="S178" s="45">
        <f t="shared" si="51"/>
        <v>27.604958468892082</v>
      </c>
      <c r="T178" s="44">
        <v>500000</v>
      </c>
      <c r="U178" s="44">
        <v>500000</v>
      </c>
      <c r="V178" s="44">
        <f t="shared" si="48"/>
        <v>0</v>
      </c>
      <c r="W178" s="44"/>
      <c r="X178" s="44"/>
      <c r="Y178" s="44">
        <v>386554.59</v>
      </c>
      <c r="Z178" s="90">
        <f t="shared" si="43"/>
        <v>77.310918</v>
      </c>
      <c r="AA178" s="90"/>
      <c r="AB178" s="44">
        <v>1042016.65</v>
      </c>
      <c r="AC178" s="90">
        <f t="shared" si="44"/>
        <v>208.40333</v>
      </c>
      <c r="AD178" s="44">
        <v>1268907.37</v>
      </c>
      <c r="AE178" s="90">
        <f t="shared" si="45"/>
        <v>253.78147400000003</v>
      </c>
      <c r="AF178" s="90">
        <v>704889</v>
      </c>
      <c r="AG178" s="44">
        <v>500000</v>
      </c>
      <c r="AH178" s="90">
        <v>1575630.03</v>
      </c>
      <c r="AI178" s="45">
        <f t="shared" si="50"/>
        <v>315.126006</v>
      </c>
      <c r="AJ178" s="90">
        <v>1634453.55</v>
      </c>
      <c r="AK178" s="45">
        <f t="shared" si="42"/>
        <v>326.89071</v>
      </c>
    </row>
    <row r="179" spans="1:37" s="43" customFormat="1" ht="11.25">
      <c r="A179" s="41" t="s">
        <v>296</v>
      </c>
      <c r="B179" s="42"/>
      <c r="C179" s="43" t="s">
        <v>297</v>
      </c>
      <c r="D179" s="44"/>
      <c r="E179" s="44"/>
      <c r="F179" s="45"/>
      <c r="G179" s="44"/>
      <c r="H179" s="44">
        <v>3580996</v>
      </c>
      <c r="I179" s="45"/>
      <c r="J179" s="44"/>
      <c r="K179" s="44">
        <v>1500000</v>
      </c>
      <c r="L179" s="44">
        <v>1000000</v>
      </c>
      <c r="M179" s="44">
        <f t="shared" si="52"/>
        <v>-500000</v>
      </c>
      <c r="N179" s="44">
        <v>743124.11</v>
      </c>
      <c r="O179" s="45">
        <f t="shared" si="53"/>
        <v>74.312411</v>
      </c>
      <c r="P179" s="44">
        <v>1000000</v>
      </c>
      <c r="Q179" s="45">
        <f>P179/H179*100</f>
        <v>27.925191762291835</v>
      </c>
      <c r="R179" s="45">
        <f t="shared" si="54"/>
        <v>100</v>
      </c>
      <c r="S179" s="45">
        <f t="shared" si="51"/>
        <v>134.5670240735427</v>
      </c>
      <c r="T179" s="44">
        <v>1000000</v>
      </c>
      <c r="U179" s="44">
        <v>1000000</v>
      </c>
      <c r="V179" s="44">
        <f t="shared" si="48"/>
        <v>0</v>
      </c>
      <c r="W179" s="44"/>
      <c r="X179" s="44"/>
      <c r="Y179" s="44">
        <v>13949.5</v>
      </c>
      <c r="Z179" s="90">
        <f t="shared" si="43"/>
        <v>1.39495</v>
      </c>
      <c r="AA179" s="90"/>
      <c r="AB179" s="44">
        <v>13949.5</v>
      </c>
      <c r="AC179" s="90">
        <f t="shared" si="44"/>
        <v>1.39495</v>
      </c>
      <c r="AD179" s="44">
        <v>89360.74</v>
      </c>
      <c r="AE179" s="90">
        <f t="shared" si="45"/>
        <v>8.936074000000001</v>
      </c>
      <c r="AF179" s="90">
        <v>250207</v>
      </c>
      <c r="AG179" s="44">
        <v>1000000</v>
      </c>
      <c r="AH179" s="90">
        <v>111209.49</v>
      </c>
      <c r="AI179" s="45">
        <f t="shared" si="50"/>
        <v>11.120949000000001</v>
      </c>
      <c r="AJ179" s="90">
        <v>202688.18</v>
      </c>
      <c r="AK179" s="45">
        <f t="shared" si="42"/>
        <v>20.268818</v>
      </c>
    </row>
    <row r="180" spans="1:37" s="43" customFormat="1" ht="11.25">
      <c r="A180" s="41" t="s">
        <v>298</v>
      </c>
      <c r="B180" s="42"/>
      <c r="C180" s="43" t="s">
        <v>299</v>
      </c>
      <c r="D180" s="44"/>
      <c r="E180" s="44"/>
      <c r="F180" s="45"/>
      <c r="G180" s="44"/>
      <c r="H180" s="44"/>
      <c r="I180" s="45"/>
      <c r="J180" s="44"/>
      <c r="K180" s="44">
        <v>1000000</v>
      </c>
      <c r="L180" s="44">
        <v>1000000</v>
      </c>
      <c r="M180" s="44">
        <f t="shared" si="52"/>
        <v>0</v>
      </c>
      <c r="N180" s="44">
        <f>502484.7+4590000</f>
        <v>5092484.7</v>
      </c>
      <c r="O180" s="45">
        <f t="shared" si="53"/>
        <v>509.24847</v>
      </c>
      <c r="P180" s="44"/>
      <c r="Q180" s="45"/>
      <c r="R180" s="45">
        <f t="shared" si="54"/>
        <v>0</v>
      </c>
      <c r="S180" s="45">
        <f t="shared" si="51"/>
        <v>0</v>
      </c>
      <c r="T180" s="44"/>
      <c r="U180" s="44"/>
      <c r="V180" s="44">
        <f t="shared" si="48"/>
        <v>0</v>
      </c>
      <c r="W180" s="44"/>
      <c r="X180" s="44"/>
      <c r="Y180" s="44">
        <v>0</v>
      </c>
      <c r="Z180" s="90"/>
      <c r="AA180" s="90"/>
      <c r="AB180" s="44">
        <v>0</v>
      </c>
      <c r="AC180" s="90" t="e">
        <f t="shared" si="44"/>
        <v>#DIV/0!</v>
      </c>
      <c r="AD180" s="44">
        <v>374453.83</v>
      </c>
      <c r="AE180" s="90"/>
      <c r="AF180" s="90">
        <v>0</v>
      </c>
      <c r="AH180" s="90">
        <v>374453.83</v>
      </c>
      <c r="AI180" s="45"/>
      <c r="AJ180" s="90">
        <v>374453.83</v>
      </c>
      <c r="AK180" s="45"/>
    </row>
    <row r="181" spans="1:37" s="43" customFormat="1" ht="11.25">
      <c r="A181" s="41" t="s">
        <v>300</v>
      </c>
      <c r="B181" s="42"/>
      <c r="C181" s="43" t="s">
        <v>301</v>
      </c>
      <c r="D181" s="44"/>
      <c r="E181" s="44"/>
      <c r="F181" s="45"/>
      <c r="G181" s="44"/>
      <c r="H181" s="44"/>
      <c r="I181" s="45"/>
      <c r="J181" s="44"/>
      <c r="K181" s="44">
        <v>1000000</v>
      </c>
      <c r="L181" s="44">
        <v>1000000</v>
      </c>
      <c r="M181" s="44">
        <f t="shared" si="52"/>
        <v>0</v>
      </c>
      <c r="N181" s="44">
        <v>310000</v>
      </c>
      <c r="O181" s="45">
        <f t="shared" si="53"/>
        <v>31</v>
      </c>
      <c r="P181" s="44"/>
      <c r="Q181" s="45"/>
      <c r="R181" s="45">
        <f t="shared" si="54"/>
        <v>0</v>
      </c>
      <c r="S181" s="45">
        <f t="shared" si="51"/>
        <v>0</v>
      </c>
      <c r="T181" s="44"/>
      <c r="U181" s="44"/>
      <c r="V181" s="44">
        <f t="shared" si="48"/>
        <v>0</v>
      </c>
      <c r="W181" s="44"/>
      <c r="X181" s="44"/>
      <c r="Y181" s="44">
        <v>0</v>
      </c>
      <c r="Z181" s="90"/>
      <c r="AA181" s="90"/>
      <c r="AB181" s="44">
        <v>0</v>
      </c>
      <c r="AC181" s="90" t="e">
        <f t="shared" si="44"/>
        <v>#DIV/0!</v>
      </c>
      <c r="AD181" s="44">
        <v>400000</v>
      </c>
      <c r="AE181" s="90"/>
      <c r="AF181" s="90">
        <v>137500</v>
      </c>
      <c r="AH181" s="90">
        <v>568067.2</v>
      </c>
      <c r="AI181" s="45"/>
      <c r="AJ181" s="90">
        <v>600000</v>
      </c>
      <c r="AK181" s="45"/>
    </row>
    <row r="182" spans="1:37" s="43" customFormat="1" ht="11.25">
      <c r="A182" s="41" t="s">
        <v>302</v>
      </c>
      <c r="B182" s="42"/>
      <c r="C182" s="43" t="s">
        <v>303</v>
      </c>
      <c r="D182" s="44"/>
      <c r="E182" s="44"/>
      <c r="F182" s="45"/>
      <c r="G182" s="44"/>
      <c r="H182" s="44"/>
      <c r="I182" s="45"/>
      <c r="J182" s="44"/>
      <c r="K182" s="44">
        <v>4000000</v>
      </c>
      <c r="L182" s="44">
        <v>2000000</v>
      </c>
      <c r="M182" s="44">
        <f t="shared" si="52"/>
        <v>-2000000</v>
      </c>
      <c r="N182" s="44">
        <v>1317640</v>
      </c>
      <c r="O182" s="45">
        <f t="shared" si="53"/>
        <v>65.88199999999999</v>
      </c>
      <c r="P182" s="44">
        <f>3000000+1000000</f>
        <v>4000000</v>
      </c>
      <c r="Q182" s="45"/>
      <c r="R182" s="45">
        <f t="shared" si="54"/>
        <v>200</v>
      </c>
      <c r="S182" s="45">
        <f t="shared" si="51"/>
        <v>303.573054855651</v>
      </c>
      <c r="T182" s="44">
        <f>3000000+1000000</f>
        <v>4000000</v>
      </c>
      <c r="U182" s="44">
        <f>3000000+1000000</f>
        <v>4000000</v>
      </c>
      <c r="V182" s="44">
        <f t="shared" si="48"/>
        <v>0</v>
      </c>
      <c r="W182" s="44"/>
      <c r="X182" s="44"/>
      <c r="Y182" s="44">
        <v>0</v>
      </c>
      <c r="Z182" s="90">
        <f t="shared" si="43"/>
        <v>0</v>
      </c>
      <c r="AA182" s="90"/>
      <c r="AB182" s="44">
        <v>0</v>
      </c>
      <c r="AC182" s="90">
        <f t="shared" si="44"/>
        <v>0</v>
      </c>
      <c r="AD182" s="44">
        <v>97980</v>
      </c>
      <c r="AE182" s="90">
        <f t="shared" si="45"/>
        <v>2.4495</v>
      </c>
      <c r="AF182" s="90">
        <v>152294</v>
      </c>
      <c r="AG182" s="44">
        <f>3000000+1000000</f>
        <v>4000000</v>
      </c>
      <c r="AH182" s="90">
        <v>97980</v>
      </c>
      <c r="AI182" s="45">
        <f>+AH182/AG182*100</f>
        <v>2.4495</v>
      </c>
      <c r="AJ182" s="90">
        <v>97980</v>
      </c>
      <c r="AK182" s="45">
        <f t="shared" si="42"/>
        <v>2.4495</v>
      </c>
    </row>
    <row r="183" spans="1:37" s="43" customFormat="1" ht="11.25">
      <c r="A183" s="41" t="s">
        <v>304</v>
      </c>
      <c r="B183" s="42"/>
      <c r="C183" s="43" t="s">
        <v>305</v>
      </c>
      <c r="D183" s="44"/>
      <c r="E183" s="44"/>
      <c r="F183" s="45"/>
      <c r="G183" s="44"/>
      <c r="H183" s="44"/>
      <c r="I183" s="45"/>
      <c r="J183" s="44"/>
      <c r="K183" s="44">
        <v>3500000</v>
      </c>
      <c r="L183" s="44">
        <v>2600000</v>
      </c>
      <c r="M183" s="44">
        <f t="shared" si="52"/>
        <v>-900000</v>
      </c>
      <c r="N183" s="44">
        <v>2278972.8</v>
      </c>
      <c r="O183" s="45">
        <f t="shared" si="53"/>
        <v>87.6528</v>
      </c>
      <c r="P183" s="44">
        <v>2000000</v>
      </c>
      <c r="Q183" s="45"/>
      <c r="R183" s="45">
        <f t="shared" si="54"/>
        <v>76.92307692307693</v>
      </c>
      <c r="S183" s="45">
        <f t="shared" si="51"/>
        <v>87.75883591063483</v>
      </c>
      <c r="T183" s="44">
        <v>2000000</v>
      </c>
      <c r="U183" s="44">
        <v>2000000</v>
      </c>
      <c r="V183" s="44">
        <f t="shared" si="48"/>
        <v>0</v>
      </c>
      <c r="W183" s="44"/>
      <c r="X183" s="44"/>
      <c r="Y183" s="44">
        <v>0</v>
      </c>
      <c r="Z183" s="90">
        <f t="shared" si="43"/>
        <v>0</v>
      </c>
      <c r="AA183" s="90"/>
      <c r="AB183" s="44">
        <v>0</v>
      </c>
      <c r="AC183" s="90">
        <f t="shared" si="44"/>
        <v>0</v>
      </c>
      <c r="AD183" s="44">
        <v>234000</v>
      </c>
      <c r="AE183" s="90">
        <f t="shared" si="45"/>
        <v>11.700000000000001</v>
      </c>
      <c r="AF183" s="90">
        <v>1168534</v>
      </c>
      <c r="AG183" s="44">
        <v>2000000</v>
      </c>
      <c r="AH183" s="90">
        <v>234000</v>
      </c>
      <c r="AI183" s="45">
        <f>+AH183/AG183*100</f>
        <v>11.700000000000001</v>
      </c>
      <c r="AJ183" s="90">
        <v>396000</v>
      </c>
      <c r="AK183" s="45">
        <f t="shared" si="42"/>
        <v>19.8</v>
      </c>
    </row>
    <row r="184" spans="1:37" s="43" customFormat="1" ht="11.25">
      <c r="A184" s="41" t="s">
        <v>306</v>
      </c>
      <c r="B184" s="42"/>
      <c r="C184" s="43" t="s">
        <v>307</v>
      </c>
      <c r="D184" s="44">
        <v>1454443000</v>
      </c>
      <c r="E184" s="44">
        <v>1425537000</v>
      </c>
      <c r="F184" s="45">
        <f>E184/D184*100</f>
        <v>98.0125725105762</v>
      </c>
      <c r="G184" s="44">
        <v>1174678000</v>
      </c>
      <c r="H184" s="44"/>
      <c r="I184" s="45">
        <f>H184/G184*100</f>
        <v>0</v>
      </c>
      <c r="J184" s="44">
        <v>463714000</v>
      </c>
      <c r="K184" s="44">
        <v>3200000</v>
      </c>
      <c r="L184" s="44">
        <v>3200000</v>
      </c>
      <c r="M184" s="44">
        <f t="shared" si="52"/>
        <v>0</v>
      </c>
      <c r="N184" s="44">
        <v>2735700</v>
      </c>
      <c r="O184" s="45">
        <f t="shared" si="53"/>
        <v>85.490625</v>
      </c>
      <c r="P184" s="44">
        <v>1000000</v>
      </c>
      <c r="Q184" s="45"/>
      <c r="R184" s="45">
        <f t="shared" si="54"/>
        <v>31.25</v>
      </c>
      <c r="S184" s="45">
        <f t="shared" si="51"/>
        <v>36.5537156851994</v>
      </c>
      <c r="T184" s="44">
        <v>1000000</v>
      </c>
      <c r="U184" s="44">
        <v>1000000</v>
      </c>
      <c r="V184" s="44">
        <f t="shared" si="48"/>
        <v>0</v>
      </c>
      <c r="W184" s="44"/>
      <c r="X184" s="44"/>
      <c r="Y184" s="44">
        <v>0</v>
      </c>
      <c r="Z184" s="90">
        <f t="shared" si="43"/>
        <v>0</v>
      </c>
      <c r="AA184" s="90"/>
      <c r="AB184" s="44">
        <v>0</v>
      </c>
      <c r="AC184" s="90">
        <f t="shared" si="44"/>
        <v>0</v>
      </c>
      <c r="AD184" s="44">
        <v>0</v>
      </c>
      <c r="AE184" s="90">
        <f t="shared" si="45"/>
        <v>0</v>
      </c>
      <c r="AF184" s="90">
        <f>1305477-44265</f>
        <v>1261212</v>
      </c>
      <c r="AG184" s="44">
        <v>1000000</v>
      </c>
      <c r="AH184" s="90">
        <v>0</v>
      </c>
      <c r="AI184" s="45">
        <f>+AH184/AG184*100</f>
        <v>0</v>
      </c>
      <c r="AJ184" s="90">
        <v>469200</v>
      </c>
      <c r="AK184" s="45">
        <f t="shared" si="42"/>
        <v>46.92</v>
      </c>
    </row>
    <row r="185" spans="1:37" ht="12.75" customHeight="1">
      <c r="A185" s="28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6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89"/>
      <c r="AA185" s="89"/>
      <c r="AB185" s="25"/>
      <c r="AC185" s="89"/>
      <c r="AD185" s="25"/>
      <c r="AE185" s="89"/>
      <c r="AF185" s="89"/>
      <c r="AH185" s="89"/>
      <c r="AI185" s="26"/>
      <c r="AJ185" s="89"/>
      <c r="AK185" s="26"/>
    </row>
    <row r="186" spans="1:37" s="31" customFormat="1" ht="12.75">
      <c r="A186" s="30">
        <v>714</v>
      </c>
      <c r="C186" s="31" t="s">
        <v>308</v>
      </c>
      <c r="D186" s="32">
        <f>D187</f>
        <v>70000000</v>
      </c>
      <c r="E186" s="32">
        <f>E187</f>
        <v>58040771</v>
      </c>
      <c r="F186" s="22">
        <f>E186/D186*100</f>
        <v>82.91538714285714</v>
      </c>
      <c r="G186" s="32">
        <f>G187</f>
        <v>190000000</v>
      </c>
      <c r="H186" s="32">
        <f>H187</f>
        <v>842568376</v>
      </c>
      <c r="I186" s="22">
        <f>H186/G186*100</f>
        <v>443.45704</v>
      </c>
      <c r="J186" s="32">
        <f>J187</f>
        <v>380000000</v>
      </c>
      <c r="K186" s="32">
        <f>K187</f>
        <v>1193827300</v>
      </c>
      <c r="L186" s="32">
        <f>L187</f>
        <v>901400000</v>
      </c>
      <c r="M186" s="33">
        <f aca="true" t="shared" si="55" ref="M186:M195">L186-K186</f>
        <v>-292427300</v>
      </c>
      <c r="N186" s="32">
        <f>N187</f>
        <v>757042095.49</v>
      </c>
      <c r="O186" s="34">
        <f>N186/L186*100</f>
        <v>83.98514482915465</v>
      </c>
      <c r="P186" s="32">
        <f>P187</f>
        <v>932103000</v>
      </c>
      <c r="Q186" s="22">
        <f aca="true" t="shared" si="56" ref="Q186:Q199">P186/H186*100</f>
        <v>110.6263926525531</v>
      </c>
      <c r="R186" s="22">
        <f>P186/L186*100</f>
        <v>103.4061459951187</v>
      </c>
      <c r="S186" s="22">
        <f>P186/N186*100</f>
        <v>123.12432895778282</v>
      </c>
      <c r="T186" s="32">
        <f>T187</f>
        <v>923103000</v>
      </c>
      <c r="U186" s="32">
        <f>U187</f>
        <v>1086300000</v>
      </c>
      <c r="V186" s="33">
        <f aca="true" t="shared" si="57" ref="V186:V205">U186-P186</f>
        <v>154197000</v>
      </c>
      <c r="W186" s="33"/>
      <c r="X186" s="33"/>
      <c r="Y186" s="32">
        <f>Y187</f>
        <v>32165371.520000003</v>
      </c>
      <c r="Z186" s="87">
        <f t="shared" si="43"/>
        <v>3.4508387506530935</v>
      </c>
      <c r="AA186" s="87">
        <f>AA187</f>
        <v>0</v>
      </c>
      <c r="AB186" s="32">
        <f>AB187</f>
        <v>67096973.150000006</v>
      </c>
      <c r="AC186" s="87">
        <f t="shared" si="44"/>
        <v>7.198450509224839</v>
      </c>
      <c r="AD186" s="32">
        <f>AD187</f>
        <v>335901639.55</v>
      </c>
      <c r="AE186" s="87">
        <f t="shared" si="45"/>
        <v>36.03696582351951</v>
      </c>
      <c r="AF186" s="87">
        <f>AF187</f>
        <v>256592296</v>
      </c>
      <c r="AG186" s="32">
        <f>AG187</f>
        <v>1095300000</v>
      </c>
      <c r="AH186" s="87">
        <f>AH187</f>
        <v>363628891.8</v>
      </c>
      <c r="AI186" s="22">
        <f>+AH186/AG186*100</f>
        <v>33.19902235004108</v>
      </c>
      <c r="AJ186" s="87">
        <f>AJ187</f>
        <v>403625224.75</v>
      </c>
      <c r="AK186" s="22">
        <f t="shared" si="42"/>
        <v>36.85065504884506</v>
      </c>
    </row>
    <row r="187" spans="1:37" s="31" customFormat="1" ht="12.75">
      <c r="A187" s="30">
        <v>7141</v>
      </c>
      <c r="C187" s="31" t="s">
        <v>309</v>
      </c>
      <c r="D187" s="32">
        <f>SUM(D193:D204)</f>
        <v>70000000</v>
      </c>
      <c r="E187" s="32">
        <f>SUM(E193:E204)</f>
        <v>58040771</v>
      </c>
      <c r="F187" s="34">
        <f>E187/D187*100</f>
        <v>82.91538714285714</v>
      </c>
      <c r="G187" s="32">
        <f>SUM(G193:G204)</f>
        <v>190000000</v>
      </c>
      <c r="H187" s="32">
        <f>SUM(H193:H201)+H188</f>
        <v>842568376</v>
      </c>
      <c r="I187" s="32">
        <f>SUM(I193:I201)+I188</f>
        <v>94.37488</v>
      </c>
      <c r="J187" s="32">
        <f>SUM(J193:J201)+J188</f>
        <v>380000000</v>
      </c>
      <c r="K187" s="32">
        <f>SUM(K193:K201)+K188</f>
        <v>1193827300</v>
      </c>
      <c r="L187" s="32">
        <f>SUM(L193:L201)+L188</f>
        <v>901400000</v>
      </c>
      <c r="M187" s="33">
        <f t="shared" si="55"/>
        <v>-292427300</v>
      </c>
      <c r="N187" s="32">
        <f>SUM(N193:N201)+N188</f>
        <v>757042095.49</v>
      </c>
      <c r="O187" s="34">
        <f>N187/L187*100</f>
        <v>83.98514482915465</v>
      </c>
      <c r="P187" s="32">
        <f>SUM(P193:P201)+P188-P196-P197</f>
        <v>932103000</v>
      </c>
      <c r="Q187" s="22">
        <f t="shared" si="56"/>
        <v>110.6263926525531</v>
      </c>
      <c r="R187" s="22">
        <f>P187/L187*100</f>
        <v>103.4061459951187</v>
      </c>
      <c r="S187" s="22">
        <f>P187/N187*100</f>
        <v>123.12432895778282</v>
      </c>
      <c r="T187" s="32">
        <f>SUM(T193:T201)+T188</f>
        <v>923103000</v>
      </c>
      <c r="U187" s="32">
        <f>SUM(U193:U201)+U188</f>
        <v>1086300000</v>
      </c>
      <c r="V187" s="33">
        <f t="shared" si="57"/>
        <v>154197000</v>
      </c>
      <c r="W187" s="33"/>
      <c r="X187" s="33"/>
      <c r="Y187" s="32">
        <f>SUM(Y193:Y201)+Y188-Y196-Y197</f>
        <v>32165371.520000003</v>
      </c>
      <c r="Z187" s="87">
        <f t="shared" si="43"/>
        <v>3.4508387506530935</v>
      </c>
      <c r="AA187" s="87">
        <f>SUM(AA193:AA201)+AA188</f>
        <v>0</v>
      </c>
      <c r="AB187" s="32">
        <f>SUM(AB193:AB201)+AB188-AB196-AB197</f>
        <v>67096973.150000006</v>
      </c>
      <c r="AC187" s="87">
        <f t="shared" si="44"/>
        <v>7.198450509224839</v>
      </c>
      <c r="AD187" s="32">
        <f>SUM(AD193:AD201)+AD188-AD196-AD197</f>
        <v>335901639.55</v>
      </c>
      <c r="AE187" s="87">
        <f t="shared" si="45"/>
        <v>36.03696582351951</v>
      </c>
      <c r="AF187" s="87">
        <f>SUM(AF193:AF201)+AF188-AF196-AF197</f>
        <v>256592296</v>
      </c>
      <c r="AG187" s="32">
        <f>SUM(AG193:AG201)+AG188-AG196-AG197</f>
        <v>1095300000</v>
      </c>
      <c r="AH187" s="87">
        <f>SUM(AH193:AH201)+AH188</f>
        <v>363628891.8</v>
      </c>
      <c r="AI187" s="22">
        <f>+AH187/AG187*100</f>
        <v>33.19902235004108</v>
      </c>
      <c r="AJ187" s="87">
        <f>+AJ188+AJ193+AJ194+AJ195+AJ201</f>
        <v>403625224.75</v>
      </c>
      <c r="AK187" s="22">
        <f t="shared" si="42"/>
        <v>36.85065504884506</v>
      </c>
    </row>
    <row r="188" spans="1:37" s="36" customFormat="1" ht="12.75" customHeight="1">
      <c r="A188" s="35" t="s">
        <v>310</v>
      </c>
      <c r="C188" s="36" t="s">
        <v>309</v>
      </c>
      <c r="D188" s="37"/>
      <c r="E188" s="37"/>
      <c r="F188" s="39"/>
      <c r="G188" s="37"/>
      <c r="H188" s="37">
        <f>SUM(H189:H192)</f>
        <v>559521461</v>
      </c>
      <c r="I188" s="37">
        <f>SUM(I189:I192)</f>
        <v>0</v>
      </c>
      <c r="J188" s="37">
        <f>SUM(J189:J192)</f>
        <v>0</v>
      </c>
      <c r="K188" s="37">
        <f>SUM(K189:K192)</f>
        <v>845000000</v>
      </c>
      <c r="L188" s="37">
        <f>SUM(L189:L192)</f>
        <v>605000000</v>
      </c>
      <c r="M188" s="37">
        <f t="shared" si="55"/>
        <v>-240000000</v>
      </c>
      <c r="N188" s="37">
        <f>SUM(N189:N192)</f>
        <v>436227040.88</v>
      </c>
      <c r="O188" s="39">
        <f>N188/L188*100</f>
        <v>72.10364312066116</v>
      </c>
      <c r="P188" s="37">
        <f>SUM(P189:P192)</f>
        <v>615650000</v>
      </c>
      <c r="Q188" s="37" t="e">
        <f aca="true" t="shared" si="58" ref="Q188:AG188">SUM(Q189:Q192)</f>
        <v>#DIV/0!</v>
      </c>
      <c r="R188" s="37">
        <f t="shared" si="58"/>
        <v>303.12797619047615</v>
      </c>
      <c r="S188" s="37">
        <f t="shared" si="58"/>
        <v>275.5432830080106</v>
      </c>
      <c r="T188" s="37">
        <f t="shared" si="58"/>
        <v>615650000</v>
      </c>
      <c r="U188" s="37">
        <f t="shared" si="58"/>
        <v>740650000</v>
      </c>
      <c r="V188" s="37">
        <f t="shared" si="58"/>
        <v>125000000</v>
      </c>
      <c r="W188" s="37">
        <f t="shared" si="58"/>
        <v>140000000</v>
      </c>
      <c r="X188" s="37">
        <f t="shared" si="58"/>
        <v>-15000000</v>
      </c>
      <c r="Y188" s="37">
        <f t="shared" si="58"/>
        <v>18801545.3</v>
      </c>
      <c r="Z188" s="37">
        <f t="shared" si="58"/>
        <v>7.812817494286309</v>
      </c>
      <c r="AA188" s="37">
        <f t="shared" si="58"/>
        <v>0</v>
      </c>
      <c r="AB188" s="37">
        <f t="shared" si="58"/>
        <v>37093305.27</v>
      </c>
      <c r="AC188" s="37" t="e">
        <f t="shared" si="58"/>
        <v>#DIV/0!</v>
      </c>
      <c r="AD188" s="37">
        <f t="shared" si="58"/>
        <v>241893702.32</v>
      </c>
      <c r="AE188" s="37" t="e">
        <f t="shared" si="58"/>
        <v>#DIV/0!</v>
      </c>
      <c r="AF188" s="88">
        <f>SUM(AF189:AF192)</f>
        <v>118405708</v>
      </c>
      <c r="AG188" s="37">
        <f t="shared" si="58"/>
        <v>740650000</v>
      </c>
      <c r="AH188" s="88">
        <f>SUM(AH189:AH192)</f>
        <v>259816938</v>
      </c>
      <c r="AI188" s="39">
        <f>+AH188/AG188*100</f>
        <v>35.07958387902518</v>
      </c>
      <c r="AJ188" s="88">
        <f>SUM(AJ189:AJ192)</f>
        <v>278730868.79999995</v>
      </c>
      <c r="AK188" s="39">
        <f t="shared" si="42"/>
        <v>37.63327736447714</v>
      </c>
    </row>
    <row r="189" spans="1:37" s="43" customFormat="1" ht="12.75" customHeight="1" hidden="1">
      <c r="A189" s="41"/>
      <c r="B189" s="42" t="s">
        <v>270</v>
      </c>
      <c r="C189" s="43" t="s">
        <v>311</v>
      </c>
      <c r="D189" s="44"/>
      <c r="E189" s="44"/>
      <c r="F189" s="45"/>
      <c r="G189" s="44"/>
      <c r="H189" s="44"/>
      <c r="I189" s="45"/>
      <c r="J189" s="44"/>
      <c r="K189" s="44">
        <v>170000000</v>
      </c>
      <c r="L189" s="44"/>
      <c r="M189" s="44">
        <f t="shared" si="55"/>
        <v>-170000000</v>
      </c>
      <c r="N189" s="44"/>
      <c r="O189" s="45"/>
      <c r="P189" s="44"/>
      <c r="Q189" s="39" t="e">
        <f t="shared" si="56"/>
        <v>#DIV/0!</v>
      </c>
      <c r="R189" s="39"/>
      <c r="S189" s="39"/>
      <c r="T189" s="44"/>
      <c r="U189" s="44"/>
      <c r="V189" s="44">
        <f t="shared" si="57"/>
        <v>0</v>
      </c>
      <c r="W189" s="44"/>
      <c r="X189" s="44"/>
      <c r="Y189" s="44"/>
      <c r="Z189" s="90"/>
      <c r="AA189" s="90"/>
      <c r="AB189" s="44"/>
      <c r="AC189" s="90" t="e">
        <f t="shared" si="44"/>
        <v>#DIV/0!</v>
      </c>
      <c r="AD189" s="44"/>
      <c r="AE189" s="90" t="e">
        <f t="shared" si="45"/>
        <v>#DIV/0!</v>
      </c>
      <c r="AF189" s="90"/>
      <c r="AH189" s="90"/>
      <c r="AI189" s="39" t="e">
        <f>+AH189/AG189*100</f>
        <v>#DIV/0!</v>
      </c>
      <c r="AJ189" s="90"/>
      <c r="AK189" s="39" t="e">
        <f t="shared" si="42"/>
        <v>#DIV/0!</v>
      </c>
    </row>
    <row r="190" spans="1:37" s="43" customFormat="1" ht="12.75" customHeight="1" hidden="1">
      <c r="A190" s="41" t="s">
        <v>312</v>
      </c>
      <c r="B190" s="42"/>
      <c r="C190" s="43" t="s">
        <v>313</v>
      </c>
      <c r="D190" s="44"/>
      <c r="E190" s="44"/>
      <c r="F190" s="45"/>
      <c r="G190" s="44"/>
      <c r="H190" s="44">
        <v>3285423</v>
      </c>
      <c r="I190" s="45"/>
      <c r="J190" s="44"/>
      <c r="K190" s="44">
        <v>15000000</v>
      </c>
      <c r="L190" s="44">
        <v>15000000</v>
      </c>
      <c r="M190" s="44">
        <f t="shared" si="55"/>
        <v>0</v>
      </c>
      <c r="N190" s="44"/>
      <c r="O190" s="45">
        <f>N190/L190*100</f>
        <v>0</v>
      </c>
      <c r="P190" s="44">
        <v>15000000</v>
      </c>
      <c r="Q190" s="45">
        <f t="shared" si="56"/>
        <v>456.5622143632647</v>
      </c>
      <c r="R190" s="45">
        <f>P190/L190*100</f>
        <v>100</v>
      </c>
      <c r="S190" s="45"/>
      <c r="T190" s="44">
        <v>15000000</v>
      </c>
      <c r="U190" s="44"/>
      <c r="V190" s="44">
        <f t="shared" si="57"/>
        <v>-15000000</v>
      </c>
      <c r="W190" s="44"/>
      <c r="X190" s="44">
        <v>-15000000</v>
      </c>
      <c r="Y190" s="44">
        <v>0</v>
      </c>
      <c r="Z190" s="90">
        <f t="shared" si="43"/>
        <v>0</v>
      </c>
      <c r="AA190" s="90"/>
      <c r="AB190" s="44">
        <v>0</v>
      </c>
      <c r="AC190" s="90">
        <f t="shared" si="44"/>
        <v>0</v>
      </c>
      <c r="AD190" s="44">
        <v>0</v>
      </c>
      <c r="AE190" s="90">
        <f t="shared" si="45"/>
        <v>0</v>
      </c>
      <c r="AF190" s="90"/>
      <c r="AH190" s="90"/>
      <c r="AI190" s="45"/>
      <c r="AJ190" s="90"/>
      <c r="AK190" s="45" t="e">
        <f t="shared" si="42"/>
        <v>#DIV/0!</v>
      </c>
    </row>
    <row r="191" spans="1:37" s="43" customFormat="1" ht="11.25">
      <c r="A191" s="41" t="s">
        <v>314</v>
      </c>
      <c r="B191" s="42"/>
      <c r="C191" s="43" t="s">
        <v>315</v>
      </c>
      <c r="D191" s="44"/>
      <c r="E191" s="44"/>
      <c r="F191" s="45"/>
      <c r="G191" s="44"/>
      <c r="H191" s="44">
        <f>77387528+262929646</f>
        <v>340317174</v>
      </c>
      <c r="I191" s="45"/>
      <c r="J191" s="44"/>
      <c r="K191" s="44">
        <v>420000000</v>
      </c>
      <c r="L191" s="44">
        <v>350000000</v>
      </c>
      <c r="M191" s="44">
        <f t="shared" si="55"/>
        <v>-70000000</v>
      </c>
      <c r="N191" s="44">
        <f>245227390.96-27739270.27</f>
        <v>217488120.69</v>
      </c>
      <c r="O191" s="45">
        <f>N191/L191*100</f>
        <v>62.13946305428571</v>
      </c>
      <c r="P191" s="44">
        <v>360000000</v>
      </c>
      <c r="Q191" s="45">
        <f t="shared" si="56"/>
        <v>105.78367108795985</v>
      </c>
      <c r="R191" s="45">
        <f>P191/L191*100</f>
        <v>102.85714285714285</v>
      </c>
      <c r="S191" s="45">
        <f>P191/N191*100</f>
        <v>165.52628201387213</v>
      </c>
      <c r="T191" s="44">
        <v>360000000</v>
      </c>
      <c r="U191" s="44">
        <f>360000000-30000000+170000000</f>
        <v>500000000</v>
      </c>
      <c r="V191" s="44">
        <f t="shared" si="57"/>
        <v>140000000</v>
      </c>
      <c r="W191" s="44">
        <v>140000000</v>
      </c>
      <c r="X191" s="44"/>
      <c r="Y191" s="44">
        <v>0</v>
      </c>
      <c r="Z191" s="90">
        <f t="shared" si="43"/>
        <v>0</v>
      </c>
      <c r="AA191" s="90"/>
      <c r="AB191" s="44">
        <v>0</v>
      </c>
      <c r="AC191" s="90">
        <f t="shared" si="44"/>
        <v>0</v>
      </c>
      <c r="AD191" s="44">
        <v>170615219.45</v>
      </c>
      <c r="AE191" s="90">
        <f t="shared" si="45"/>
        <v>47.393116513888884</v>
      </c>
      <c r="AF191" s="90">
        <v>0</v>
      </c>
      <c r="AG191" s="44">
        <v>500000000</v>
      </c>
      <c r="AH191" s="90">
        <v>170615219.45</v>
      </c>
      <c r="AI191" s="45">
        <f aca="true" t="shared" si="59" ref="AI191:AI204">+AH191/AG191*100</f>
        <v>34.12304389</v>
      </c>
      <c r="AJ191" s="90">
        <v>170615219.45</v>
      </c>
      <c r="AK191" s="45">
        <f t="shared" si="42"/>
        <v>34.12304389</v>
      </c>
    </row>
    <row r="192" spans="1:37" s="43" customFormat="1" ht="11.25">
      <c r="A192" s="41" t="s">
        <v>316</v>
      </c>
      <c r="B192" s="42"/>
      <c r="C192" s="43" t="s">
        <v>317</v>
      </c>
      <c r="D192" s="44"/>
      <c r="E192" s="44"/>
      <c r="F192" s="45"/>
      <c r="G192" s="44"/>
      <c r="H192" s="44">
        <f>44386892+171531972</f>
        <v>215918864</v>
      </c>
      <c r="I192" s="45"/>
      <c r="J192" s="44"/>
      <c r="K192" s="44">
        <v>240000000</v>
      </c>
      <c r="L192" s="44">
        <v>240000000</v>
      </c>
      <c r="M192" s="44">
        <f t="shared" si="55"/>
        <v>0</v>
      </c>
      <c r="N192" s="44">
        <v>218738920.19</v>
      </c>
      <c r="O192" s="45">
        <f>N192/L192*100</f>
        <v>91.14121674583333</v>
      </c>
      <c r="P192" s="44">
        <f>240000000+650000</f>
        <v>240650000</v>
      </c>
      <c r="Q192" s="45">
        <f t="shared" si="56"/>
        <v>111.45390242512576</v>
      </c>
      <c r="R192" s="45">
        <f>P192/L192*100</f>
        <v>100.27083333333333</v>
      </c>
      <c r="S192" s="45">
        <f>P192/N192*100</f>
        <v>110.01700099413844</v>
      </c>
      <c r="T192" s="44">
        <f>240000000+650000</f>
        <v>240650000</v>
      </c>
      <c r="U192" s="44">
        <f>240000000+650000</f>
        <v>240650000</v>
      </c>
      <c r="V192" s="44">
        <f t="shared" si="57"/>
        <v>0</v>
      </c>
      <c r="W192" s="44"/>
      <c r="X192" s="44"/>
      <c r="Y192" s="44">
        <v>18801545.3</v>
      </c>
      <c r="Z192" s="90">
        <f t="shared" si="43"/>
        <v>7.812817494286309</v>
      </c>
      <c r="AA192" s="90"/>
      <c r="AB192" s="44">
        <v>37093305.27</v>
      </c>
      <c r="AC192" s="90">
        <f t="shared" si="44"/>
        <v>15.413798159152298</v>
      </c>
      <c r="AD192" s="44">
        <v>71278482.87</v>
      </c>
      <c r="AE192" s="90">
        <f t="shared" si="45"/>
        <v>29.61914933305631</v>
      </c>
      <c r="AF192" s="90">
        <v>118405708</v>
      </c>
      <c r="AG192" s="44">
        <v>240650000</v>
      </c>
      <c r="AH192" s="90">
        <v>89201718.55</v>
      </c>
      <c r="AI192" s="45">
        <f t="shared" si="59"/>
        <v>37.06699295657594</v>
      </c>
      <c r="AJ192" s="90">
        <v>108115649.35</v>
      </c>
      <c r="AK192" s="45">
        <f t="shared" si="42"/>
        <v>44.92651126116767</v>
      </c>
    </row>
    <row r="193" spans="1:37" s="36" customFormat="1" ht="12.75" customHeight="1">
      <c r="A193" s="35" t="s">
        <v>318</v>
      </c>
      <c r="C193" s="36" t="s">
        <v>319</v>
      </c>
      <c r="D193" s="37">
        <v>70000000</v>
      </c>
      <c r="E193" s="37">
        <v>58040771</v>
      </c>
      <c r="F193" s="38">
        <f>E193/D193*100</f>
        <v>82.91538714285714</v>
      </c>
      <c r="G193" s="37">
        <v>190000000</v>
      </c>
      <c r="H193" s="37">
        <v>179312272</v>
      </c>
      <c r="I193" s="38">
        <f>H193/G193*100</f>
        <v>94.37488</v>
      </c>
      <c r="J193" s="37">
        <f>190000000+20000000</f>
        <v>210000000</v>
      </c>
      <c r="K193" s="37">
        <f>190000000+20000000</f>
        <v>210000000</v>
      </c>
      <c r="L193" s="37">
        <v>140000000</v>
      </c>
      <c r="M193" s="37">
        <f t="shared" si="55"/>
        <v>-70000000</v>
      </c>
      <c r="N193" s="37">
        <v>170600525.9</v>
      </c>
      <c r="O193" s="39">
        <f>N193/L193*100</f>
        <v>121.8575185</v>
      </c>
      <c r="P193" s="37">
        <f>160000000-10000000</f>
        <v>150000000</v>
      </c>
      <c r="Q193" s="39">
        <f t="shared" si="56"/>
        <v>83.65294707771032</v>
      </c>
      <c r="R193" s="39">
        <f>P193/L193*100</f>
        <v>107.14285714285714</v>
      </c>
      <c r="S193" s="39">
        <f>P193/N193*100</f>
        <v>87.92469965064744</v>
      </c>
      <c r="T193" s="37">
        <f>160000000-10000000</f>
        <v>150000000</v>
      </c>
      <c r="U193" s="37">
        <f>160000000-10000000+11350000</f>
        <v>161350000</v>
      </c>
      <c r="V193" s="37">
        <f t="shared" si="57"/>
        <v>11350000</v>
      </c>
      <c r="W193" s="37">
        <v>11350000</v>
      </c>
      <c r="X193" s="37"/>
      <c r="Y193" s="37">
        <v>7383578.3</v>
      </c>
      <c r="Z193" s="88">
        <f t="shared" si="43"/>
        <v>4.922385533333333</v>
      </c>
      <c r="AA193" s="88"/>
      <c r="AB193" s="37">
        <v>7383578.3</v>
      </c>
      <c r="AC193" s="88">
        <f t="shared" si="44"/>
        <v>4.922385533333333</v>
      </c>
      <c r="AD193" s="37">
        <v>44907261.6</v>
      </c>
      <c r="AE193" s="88">
        <f t="shared" si="45"/>
        <v>29.9381744</v>
      </c>
      <c r="AF193" s="88">
        <v>72813706</v>
      </c>
      <c r="AG193" s="37">
        <v>161350000</v>
      </c>
      <c r="AH193" s="88">
        <v>57452998.48</v>
      </c>
      <c r="AI193" s="39">
        <f t="shared" si="59"/>
        <v>35.60768421444065</v>
      </c>
      <c r="AJ193" s="88">
        <v>66635383.14</v>
      </c>
      <c r="AK193" s="39">
        <f t="shared" si="42"/>
        <v>41.29865704369383</v>
      </c>
    </row>
    <row r="194" spans="1:37" s="36" customFormat="1" ht="12.75" customHeight="1">
      <c r="A194" s="35" t="s">
        <v>320</v>
      </c>
      <c r="C194" s="36" t="s">
        <v>321</v>
      </c>
      <c r="D194" s="37"/>
      <c r="E194" s="37"/>
      <c r="F194" s="38"/>
      <c r="G194" s="37"/>
      <c r="H194" s="37">
        <v>2679699</v>
      </c>
      <c r="I194" s="38"/>
      <c r="J194" s="37"/>
      <c r="K194" s="37">
        <v>2806000</v>
      </c>
      <c r="L194" s="37">
        <v>3300000</v>
      </c>
      <c r="M194" s="37">
        <f t="shared" si="55"/>
        <v>494000</v>
      </c>
      <c r="N194" s="37">
        <v>4472712.7</v>
      </c>
      <c r="O194" s="39">
        <f>N194/L194*100</f>
        <v>135.5367484848485</v>
      </c>
      <c r="P194" s="37">
        <f>3300000+200000</f>
        <v>3500000</v>
      </c>
      <c r="Q194" s="39">
        <f t="shared" si="56"/>
        <v>130.61168437201343</v>
      </c>
      <c r="R194" s="39">
        <f>P194/L194*100</f>
        <v>106.06060606060606</v>
      </c>
      <c r="S194" s="39">
        <f>P194/N194*100</f>
        <v>78.25228747645696</v>
      </c>
      <c r="T194" s="37">
        <f>3300000+200000</f>
        <v>3500000</v>
      </c>
      <c r="U194" s="37">
        <f>3300000+200000</f>
        <v>3500000</v>
      </c>
      <c r="V194" s="37">
        <f t="shared" si="57"/>
        <v>0</v>
      </c>
      <c r="W194" s="37"/>
      <c r="X194" s="37"/>
      <c r="Y194" s="37">
        <v>456116.5</v>
      </c>
      <c r="Z194" s="88">
        <f t="shared" si="43"/>
        <v>13.031899999999998</v>
      </c>
      <c r="AA194" s="88"/>
      <c r="AB194" s="37">
        <v>583619.5</v>
      </c>
      <c r="AC194" s="88">
        <f t="shared" si="44"/>
        <v>16.674842857142856</v>
      </c>
      <c r="AD194" s="37">
        <v>1774991.1</v>
      </c>
      <c r="AE194" s="88">
        <f t="shared" si="45"/>
        <v>50.714031428571424</v>
      </c>
      <c r="AF194" s="88">
        <v>2541613</v>
      </c>
      <c r="AG194" s="37">
        <v>3500000</v>
      </c>
      <c r="AH194" s="88">
        <v>1924782.1</v>
      </c>
      <c r="AI194" s="39">
        <f t="shared" si="59"/>
        <v>54.993774285714295</v>
      </c>
      <c r="AJ194" s="88">
        <v>2135113.6</v>
      </c>
      <c r="AK194" s="39">
        <f t="shared" si="42"/>
        <v>61.00324571428571</v>
      </c>
    </row>
    <row r="195" spans="1:37" s="36" customFormat="1" ht="12.75" customHeight="1">
      <c r="A195" s="35" t="s">
        <v>322</v>
      </c>
      <c r="C195" s="36" t="s">
        <v>590</v>
      </c>
      <c r="D195" s="37"/>
      <c r="E195" s="37"/>
      <c r="F195" s="38"/>
      <c r="G195" s="37"/>
      <c r="H195" s="37">
        <v>4781082</v>
      </c>
      <c r="I195" s="38"/>
      <c r="J195" s="37"/>
      <c r="K195" s="37">
        <v>5500000</v>
      </c>
      <c r="L195" s="37"/>
      <c r="M195" s="37">
        <f t="shared" si="55"/>
        <v>-5500000</v>
      </c>
      <c r="N195" s="37"/>
      <c r="O195" s="39"/>
      <c r="P195" s="37">
        <f>+P196+P197</f>
        <v>9000000</v>
      </c>
      <c r="Q195" s="37">
        <f aca="true" t="shared" si="60" ref="Q195:AG195">+Q196+Q197</f>
        <v>0</v>
      </c>
      <c r="R195" s="37">
        <f t="shared" si="60"/>
        <v>0</v>
      </c>
      <c r="S195" s="37">
        <f t="shared" si="60"/>
        <v>0</v>
      </c>
      <c r="T195" s="37">
        <f t="shared" si="60"/>
        <v>0</v>
      </c>
      <c r="U195" s="37">
        <f t="shared" si="60"/>
        <v>0</v>
      </c>
      <c r="V195" s="37">
        <f t="shared" si="60"/>
        <v>0</v>
      </c>
      <c r="W195" s="37">
        <f t="shared" si="60"/>
        <v>0</v>
      </c>
      <c r="X195" s="37">
        <f t="shared" si="60"/>
        <v>0</v>
      </c>
      <c r="Y195" s="37">
        <f t="shared" si="60"/>
        <v>1588750</v>
      </c>
      <c r="Z195" s="37">
        <f t="shared" si="60"/>
        <v>0</v>
      </c>
      <c r="AA195" s="37">
        <f t="shared" si="60"/>
        <v>0</v>
      </c>
      <c r="AB195" s="37">
        <f t="shared" si="60"/>
        <v>3050050</v>
      </c>
      <c r="AC195" s="37">
        <f t="shared" si="60"/>
        <v>0</v>
      </c>
      <c r="AD195" s="37">
        <f t="shared" si="60"/>
        <v>7149600</v>
      </c>
      <c r="AE195" s="37">
        <f t="shared" si="60"/>
        <v>0</v>
      </c>
      <c r="AF195" s="88">
        <f>+AF196+AF197</f>
        <v>1257673</v>
      </c>
      <c r="AG195" s="37">
        <f t="shared" si="60"/>
        <v>9000000</v>
      </c>
      <c r="AH195" s="88">
        <f>+AH196+AH197</f>
        <v>0</v>
      </c>
      <c r="AI195" s="39">
        <f t="shared" si="59"/>
        <v>0</v>
      </c>
      <c r="AJ195" s="88">
        <f>+AJ196+AJ197</f>
        <v>787659.72</v>
      </c>
      <c r="AK195" s="39">
        <f t="shared" si="42"/>
        <v>8.751774666666666</v>
      </c>
    </row>
    <row r="196" spans="1:37" s="51" customFormat="1" ht="11.25" customHeight="1" hidden="1">
      <c r="A196" s="49">
        <v>71410701</v>
      </c>
      <c r="C196" s="51" t="s">
        <v>588</v>
      </c>
      <c r="D196" s="52"/>
      <c r="E196" s="52"/>
      <c r="F196" s="53"/>
      <c r="G196" s="52"/>
      <c r="H196" s="52"/>
      <c r="I196" s="53"/>
      <c r="J196" s="52"/>
      <c r="K196" s="52"/>
      <c r="L196" s="52"/>
      <c r="M196" s="52"/>
      <c r="N196" s="52"/>
      <c r="O196" s="53"/>
      <c r="P196" s="52"/>
      <c r="Q196" s="53"/>
      <c r="R196" s="53"/>
      <c r="S196" s="53"/>
      <c r="T196" s="52"/>
      <c r="U196" s="52"/>
      <c r="V196" s="52"/>
      <c r="W196" s="52"/>
      <c r="X196" s="52"/>
      <c r="Y196" s="52">
        <v>1588750</v>
      </c>
      <c r="Z196" s="92"/>
      <c r="AA196" s="92"/>
      <c r="AB196" s="52">
        <v>3050050</v>
      </c>
      <c r="AC196" s="92"/>
      <c r="AD196" s="52">
        <v>7149600</v>
      </c>
      <c r="AE196" s="92"/>
      <c r="AF196" s="92"/>
      <c r="AG196" s="52"/>
      <c r="AH196" s="92"/>
      <c r="AI196" s="53" t="e">
        <f t="shared" si="59"/>
        <v>#DIV/0!</v>
      </c>
      <c r="AJ196" s="92"/>
      <c r="AK196" s="53" t="e">
        <f t="shared" si="42"/>
        <v>#DIV/0!</v>
      </c>
    </row>
    <row r="197" spans="1:37" s="51" customFormat="1" ht="11.25" customHeight="1">
      <c r="A197" s="49">
        <v>71410704</v>
      </c>
      <c r="C197" s="51" t="s">
        <v>589</v>
      </c>
      <c r="D197" s="52"/>
      <c r="E197" s="52"/>
      <c r="F197" s="53"/>
      <c r="G197" s="52"/>
      <c r="H197" s="52"/>
      <c r="I197" s="53"/>
      <c r="J197" s="52"/>
      <c r="K197" s="52"/>
      <c r="L197" s="52"/>
      <c r="M197" s="52"/>
      <c r="N197" s="52"/>
      <c r="O197" s="53"/>
      <c r="P197" s="52">
        <v>9000000</v>
      </c>
      <c r="Q197" s="53"/>
      <c r="R197" s="53"/>
      <c r="S197" s="53"/>
      <c r="T197" s="52"/>
      <c r="U197" s="52"/>
      <c r="V197" s="52"/>
      <c r="W197" s="52"/>
      <c r="X197" s="52"/>
      <c r="Y197" s="52"/>
      <c r="Z197" s="92"/>
      <c r="AA197" s="92"/>
      <c r="AB197" s="52">
        <v>0</v>
      </c>
      <c r="AC197" s="92">
        <f t="shared" si="44"/>
        <v>0</v>
      </c>
      <c r="AD197" s="52">
        <v>0</v>
      </c>
      <c r="AE197" s="92">
        <f t="shared" si="45"/>
        <v>0</v>
      </c>
      <c r="AF197" s="92">
        <v>1257673</v>
      </c>
      <c r="AG197" s="52">
        <v>9000000</v>
      </c>
      <c r="AH197" s="92">
        <v>0</v>
      </c>
      <c r="AI197" s="53">
        <f t="shared" si="59"/>
        <v>0</v>
      </c>
      <c r="AJ197" s="92">
        <v>787659.72</v>
      </c>
      <c r="AK197" s="53">
        <f t="shared" si="42"/>
        <v>8.751774666666666</v>
      </c>
    </row>
    <row r="198" spans="1:37" s="36" customFormat="1" ht="11.25" customHeight="1" hidden="1">
      <c r="A198" s="35" t="s">
        <v>323</v>
      </c>
      <c r="C198" s="36" t="s">
        <v>324</v>
      </c>
      <c r="D198" s="37"/>
      <c r="E198" s="37"/>
      <c r="F198" s="38"/>
      <c r="G198" s="37"/>
      <c r="H198" s="37"/>
      <c r="I198" s="38"/>
      <c r="J198" s="37"/>
      <c r="K198" s="37"/>
      <c r="L198" s="37"/>
      <c r="M198" s="37"/>
      <c r="N198" s="37"/>
      <c r="O198" s="39" t="e">
        <f aca="true" t="shared" si="61" ref="O198:O204">N198/L198*100</f>
        <v>#DIV/0!</v>
      </c>
      <c r="P198" s="37"/>
      <c r="Q198" s="39" t="e">
        <f t="shared" si="56"/>
        <v>#DIV/0!</v>
      </c>
      <c r="R198" s="39"/>
      <c r="S198" s="39" t="e">
        <f aca="true" t="shared" si="62" ref="S198:S205">P198/N198*100</f>
        <v>#DIV/0!</v>
      </c>
      <c r="T198" s="37"/>
      <c r="U198" s="37"/>
      <c r="V198" s="37">
        <f t="shared" si="57"/>
        <v>0</v>
      </c>
      <c r="W198" s="37"/>
      <c r="X198" s="37"/>
      <c r="Y198" s="37">
        <v>0</v>
      </c>
      <c r="Z198" s="88"/>
      <c r="AA198" s="88"/>
      <c r="AB198" s="37">
        <v>0</v>
      </c>
      <c r="AC198" s="88" t="e">
        <f t="shared" si="44"/>
        <v>#DIV/0!</v>
      </c>
      <c r="AD198" s="37">
        <v>0</v>
      </c>
      <c r="AE198" s="88" t="e">
        <f t="shared" si="45"/>
        <v>#DIV/0!</v>
      </c>
      <c r="AF198" s="88"/>
      <c r="AH198" s="88"/>
      <c r="AI198" s="39" t="e">
        <f t="shared" si="59"/>
        <v>#DIV/0!</v>
      </c>
      <c r="AJ198" s="88"/>
      <c r="AK198" s="39" t="e">
        <f t="shared" si="42"/>
        <v>#DIV/0!</v>
      </c>
    </row>
    <row r="199" spans="1:37" s="36" customFormat="1" ht="11.25" customHeight="1" hidden="1">
      <c r="A199" s="35" t="s">
        <v>325</v>
      </c>
      <c r="C199" s="36" t="s">
        <v>326</v>
      </c>
      <c r="D199" s="37"/>
      <c r="E199" s="37"/>
      <c r="F199" s="38"/>
      <c r="G199" s="37"/>
      <c r="H199" s="37"/>
      <c r="I199" s="38"/>
      <c r="J199" s="37"/>
      <c r="K199" s="37"/>
      <c r="L199" s="37"/>
      <c r="M199" s="37"/>
      <c r="N199" s="37"/>
      <c r="O199" s="39" t="e">
        <f t="shared" si="61"/>
        <v>#DIV/0!</v>
      </c>
      <c r="P199" s="37"/>
      <c r="Q199" s="39" t="e">
        <f t="shared" si="56"/>
        <v>#DIV/0!</v>
      </c>
      <c r="R199" s="39"/>
      <c r="S199" s="39" t="e">
        <f t="shared" si="62"/>
        <v>#DIV/0!</v>
      </c>
      <c r="T199" s="37"/>
      <c r="U199" s="37"/>
      <c r="V199" s="37">
        <f t="shared" si="57"/>
        <v>0</v>
      </c>
      <c r="W199" s="37"/>
      <c r="X199" s="37"/>
      <c r="Y199" s="37">
        <v>0</v>
      </c>
      <c r="Z199" s="88"/>
      <c r="AA199" s="88"/>
      <c r="AB199" s="37">
        <v>0</v>
      </c>
      <c r="AC199" s="88" t="e">
        <f t="shared" si="44"/>
        <v>#DIV/0!</v>
      </c>
      <c r="AD199" s="37">
        <v>0</v>
      </c>
      <c r="AE199" s="88" t="e">
        <f t="shared" si="45"/>
        <v>#DIV/0!</v>
      </c>
      <c r="AF199" s="88"/>
      <c r="AH199" s="88"/>
      <c r="AI199" s="39" t="e">
        <f t="shared" si="59"/>
        <v>#DIV/0!</v>
      </c>
      <c r="AJ199" s="88"/>
      <c r="AK199" s="39" t="e">
        <f t="shared" si="42"/>
        <v>#DIV/0!</v>
      </c>
    </row>
    <row r="200" spans="1:37" s="36" customFormat="1" ht="11.25" customHeight="1" hidden="1">
      <c r="A200" s="35" t="s">
        <v>327</v>
      </c>
      <c r="C200" s="36" t="s">
        <v>328</v>
      </c>
      <c r="D200" s="37"/>
      <c r="E200" s="37"/>
      <c r="F200" s="38"/>
      <c r="G200" s="37"/>
      <c r="H200" s="37"/>
      <c r="I200" s="38"/>
      <c r="J200" s="37"/>
      <c r="K200" s="37"/>
      <c r="L200" s="37"/>
      <c r="M200" s="37"/>
      <c r="N200" s="37"/>
      <c r="O200" s="39" t="e">
        <f t="shared" si="61"/>
        <v>#DIV/0!</v>
      </c>
      <c r="P200" s="37"/>
      <c r="Q200" s="39"/>
      <c r="R200" s="39"/>
      <c r="S200" s="39" t="e">
        <f t="shared" si="62"/>
        <v>#DIV/0!</v>
      </c>
      <c r="T200" s="37"/>
      <c r="U200" s="37"/>
      <c r="V200" s="37">
        <f t="shared" si="57"/>
        <v>0</v>
      </c>
      <c r="W200" s="37"/>
      <c r="X200" s="37"/>
      <c r="Y200" s="37">
        <v>0</v>
      </c>
      <c r="Z200" s="88"/>
      <c r="AA200" s="88"/>
      <c r="AB200" s="37">
        <v>0</v>
      </c>
      <c r="AC200" s="88" t="e">
        <f t="shared" si="44"/>
        <v>#DIV/0!</v>
      </c>
      <c r="AD200" s="37">
        <v>0</v>
      </c>
      <c r="AE200" s="88" t="e">
        <f t="shared" si="45"/>
        <v>#DIV/0!</v>
      </c>
      <c r="AF200" s="88"/>
      <c r="AH200" s="88"/>
      <c r="AI200" s="39" t="e">
        <f t="shared" si="59"/>
        <v>#DIV/0!</v>
      </c>
      <c r="AJ200" s="88"/>
      <c r="AK200" s="39" t="e">
        <f aca="true" t="shared" si="63" ref="AK200:AK263">+AJ200/AG200*100</f>
        <v>#DIV/0!</v>
      </c>
    </row>
    <row r="201" spans="1:37" s="36" customFormat="1" ht="11.25" customHeight="1">
      <c r="A201" s="35" t="s">
        <v>329</v>
      </c>
      <c r="C201" s="36" t="s">
        <v>330</v>
      </c>
      <c r="D201" s="37"/>
      <c r="E201" s="37"/>
      <c r="F201" s="38"/>
      <c r="G201" s="37"/>
      <c r="H201" s="37">
        <f>SUM(H202:H205)</f>
        <v>96273862</v>
      </c>
      <c r="I201" s="37">
        <f>SUM(I202:I205)</f>
        <v>0</v>
      </c>
      <c r="J201" s="37">
        <f>SUM(J202:J205)</f>
        <v>170000000</v>
      </c>
      <c r="K201" s="37">
        <f>SUM(K202:K205)</f>
        <v>130521300</v>
      </c>
      <c r="L201" s="37">
        <f>SUM(L202:L205)</f>
        <v>153100000</v>
      </c>
      <c r="M201" s="37">
        <f>L201-K201</f>
        <v>22578700</v>
      </c>
      <c r="N201" s="37">
        <f>SUM(N202:N205)</f>
        <v>145741816.01000002</v>
      </c>
      <c r="O201" s="39">
        <f t="shared" si="61"/>
        <v>95.19387067929459</v>
      </c>
      <c r="P201" s="37">
        <f>SUM(P202:P205)</f>
        <v>153953000</v>
      </c>
      <c r="Q201" s="39">
        <f>P201/H201*100</f>
        <v>159.91152406454827</v>
      </c>
      <c r="R201" s="39">
        <f>P201/L201*100</f>
        <v>100.55715218811234</v>
      </c>
      <c r="S201" s="39">
        <f t="shared" si="62"/>
        <v>105.63406180518334</v>
      </c>
      <c r="T201" s="37">
        <f>SUM(T202:T205)</f>
        <v>153953000</v>
      </c>
      <c r="U201" s="37">
        <f>SUM(U202:U205)</f>
        <v>180800000</v>
      </c>
      <c r="V201" s="37">
        <f t="shared" si="57"/>
        <v>26847000</v>
      </c>
      <c r="W201" s="37"/>
      <c r="X201" s="37"/>
      <c r="Y201" s="37">
        <f>SUM(Y202:Y205)</f>
        <v>3935381.42</v>
      </c>
      <c r="Z201" s="88">
        <f t="shared" si="43"/>
        <v>2.556222626385975</v>
      </c>
      <c r="AA201" s="88">
        <f>SUM(AA202:AA205)</f>
        <v>0</v>
      </c>
      <c r="AB201" s="37">
        <f>SUM(AB202:AB205)</f>
        <v>18986420.08</v>
      </c>
      <c r="AC201" s="88">
        <f aca="true" t="shared" si="64" ref="AC201:AC267">+AB201/P201*100</f>
        <v>12.332608055705311</v>
      </c>
      <c r="AD201" s="37">
        <f>SUM(AD202:AD205)</f>
        <v>40176084.53</v>
      </c>
      <c r="AE201" s="88">
        <f aca="true" t="shared" si="65" ref="AE201:AE267">AD201/P201*100</f>
        <v>26.09633104259092</v>
      </c>
      <c r="AF201" s="88">
        <f>SUM(AF202:AF206)</f>
        <v>61573596</v>
      </c>
      <c r="AG201" s="37">
        <f>SUM(AG202:AG206)</f>
        <v>180800000</v>
      </c>
      <c r="AH201" s="88">
        <f>SUM(AH202:AH205)</f>
        <v>44434173.22</v>
      </c>
      <c r="AI201" s="39">
        <f t="shared" si="59"/>
        <v>24.57642324115044</v>
      </c>
      <c r="AJ201" s="88">
        <f>SUM(AJ202:AJ205)</f>
        <v>55336199.49</v>
      </c>
      <c r="AK201" s="39">
        <f t="shared" si="63"/>
        <v>30.60630502765487</v>
      </c>
    </row>
    <row r="202" spans="1:37" s="43" customFormat="1" ht="12.75" customHeight="1">
      <c r="A202" s="41" t="s">
        <v>331</v>
      </c>
      <c r="B202" s="42"/>
      <c r="C202" s="43" t="s">
        <v>332</v>
      </c>
      <c r="D202" s="44"/>
      <c r="E202" s="44"/>
      <c r="F202" s="45"/>
      <c r="G202" s="44"/>
      <c r="H202" s="44">
        <v>87392014</v>
      </c>
      <c r="I202" s="45"/>
      <c r="J202" s="44"/>
      <c r="K202" s="44">
        <v>104721300</v>
      </c>
      <c r="L202" s="44">
        <v>127300000</v>
      </c>
      <c r="M202" s="44">
        <f>L202-K202</f>
        <v>22578700</v>
      </c>
      <c r="N202" s="44">
        <v>110817952.2</v>
      </c>
      <c r="O202" s="45">
        <f t="shared" si="61"/>
        <v>87.05259402985075</v>
      </c>
      <c r="P202" s="44">
        <f>100000000+31953000</f>
        <v>131953000</v>
      </c>
      <c r="Q202" s="45">
        <f>P202/H202*100</f>
        <v>150.9897689278565</v>
      </c>
      <c r="R202" s="45">
        <f>P202/L202*100</f>
        <v>103.65514532600157</v>
      </c>
      <c r="S202" s="45">
        <f t="shared" si="62"/>
        <v>119.07186279877855</v>
      </c>
      <c r="T202" s="44">
        <f>100000000+31953000</f>
        <v>131953000</v>
      </c>
      <c r="U202" s="44">
        <f>100000000+31953000+7637000+19210000</f>
        <v>158800000</v>
      </c>
      <c r="V202" s="44">
        <f t="shared" si="57"/>
        <v>26847000</v>
      </c>
      <c r="W202" s="44">
        <v>26847000</v>
      </c>
      <c r="X202" s="44"/>
      <c r="Y202" s="44">
        <v>2504641</v>
      </c>
      <c r="Z202" s="90">
        <f t="shared" si="43"/>
        <v>1.8981311527589368</v>
      </c>
      <c r="AA202" s="90"/>
      <c r="AB202" s="44">
        <v>17455926</v>
      </c>
      <c r="AC202" s="90">
        <f t="shared" si="64"/>
        <v>13.228896652596001</v>
      </c>
      <c r="AD202" s="44">
        <v>35257527</v>
      </c>
      <c r="AE202" s="90">
        <f t="shared" si="65"/>
        <v>26.71976158177533</v>
      </c>
      <c r="AF202" s="90">
        <v>40396576</v>
      </c>
      <c r="AG202" s="44">
        <v>158800000</v>
      </c>
      <c r="AH202" s="90">
        <v>39481856.47</v>
      </c>
      <c r="AI202" s="45">
        <f t="shared" si="59"/>
        <v>24.86263001889169</v>
      </c>
      <c r="AJ202" s="90">
        <v>50180092</v>
      </c>
      <c r="AK202" s="45">
        <f t="shared" si="63"/>
        <v>31.599554156171283</v>
      </c>
    </row>
    <row r="203" spans="1:37" s="43" customFormat="1" ht="11.25">
      <c r="A203" s="41" t="s">
        <v>333</v>
      </c>
      <c r="B203" s="42"/>
      <c r="C203" s="43" t="s">
        <v>334</v>
      </c>
      <c r="D203" s="44"/>
      <c r="E203" s="44"/>
      <c r="F203" s="44"/>
      <c r="G203" s="44"/>
      <c r="H203" s="44">
        <v>7654319</v>
      </c>
      <c r="I203" s="44"/>
      <c r="J203" s="44"/>
      <c r="K203" s="44">
        <f>20000000+3800000</f>
        <v>23800000</v>
      </c>
      <c r="L203" s="44">
        <f>20000000+3800000</f>
        <v>23800000</v>
      </c>
      <c r="M203" s="44">
        <f>L203-K203</f>
        <v>0</v>
      </c>
      <c r="N203" s="44">
        <f>33131317.37+19281.2</f>
        <v>33150598.57</v>
      </c>
      <c r="O203" s="45">
        <f t="shared" si="61"/>
        <v>139.2882292857143</v>
      </c>
      <c r="P203" s="44">
        <v>20000000</v>
      </c>
      <c r="Q203" s="45">
        <f>P203/H203*100</f>
        <v>261.29039043185946</v>
      </c>
      <c r="R203" s="45">
        <f>P203/L203*100</f>
        <v>84.03361344537815</v>
      </c>
      <c r="S203" s="45">
        <f t="shared" si="62"/>
        <v>60.33073568119286</v>
      </c>
      <c r="T203" s="44">
        <v>20000000</v>
      </c>
      <c r="U203" s="44">
        <v>20000000</v>
      </c>
      <c r="V203" s="44">
        <f t="shared" si="57"/>
        <v>0</v>
      </c>
      <c r="W203" s="44"/>
      <c r="X203" s="44"/>
      <c r="Y203" s="44">
        <v>1429495.13</v>
      </c>
      <c r="Z203" s="90">
        <f aca="true" t="shared" si="66" ref="Z203:Z269">+Y203/P203*100</f>
        <v>7.14747565</v>
      </c>
      <c r="AA203" s="90"/>
      <c r="AB203" s="44">
        <v>1429495.13</v>
      </c>
      <c r="AC203" s="90">
        <f t="shared" si="64"/>
        <v>7.14747565</v>
      </c>
      <c r="AD203" s="44">
        <v>4473463.08</v>
      </c>
      <c r="AE203" s="90">
        <f t="shared" si="65"/>
        <v>22.367315400000003</v>
      </c>
      <c r="AF203" s="90">
        <f>10560910+9734931.15+500000+18261.85</f>
        <v>20814103</v>
      </c>
      <c r="AG203" s="44">
        <v>20000000</v>
      </c>
      <c r="AH203" s="90">
        <v>4507222.3</v>
      </c>
      <c r="AI203" s="45">
        <f t="shared" si="59"/>
        <v>22.5361115</v>
      </c>
      <c r="AJ203" s="90">
        <v>4670040.04</v>
      </c>
      <c r="AK203" s="45">
        <f t="shared" si="63"/>
        <v>23.3502002</v>
      </c>
    </row>
    <row r="204" spans="1:37" s="43" customFormat="1" ht="11.25">
      <c r="A204" s="41" t="s">
        <v>335</v>
      </c>
      <c r="B204" s="42"/>
      <c r="C204" s="43" t="s">
        <v>336</v>
      </c>
      <c r="D204" s="44"/>
      <c r="E204" s="44"/>
      <c r="F204" s="44"/>
      <c r="G204" s="44"/>
      <c r="H204" s="44">
        <v>1227529</v>
      </c>
      <c r="I204" s="44"/>
      <c r="J204" s="44">
        <v>170000000</v>
      </c>
      <c r="K204" s="44">
        <v>2000000</v>
      </c>
      <c r="L204" s="44">
        <v>2000000</v>
      </c>
      <c r="M204" s="44">
        <f>L204-K204</f>
        <v>0</v>
      </c>
      <c r="N204" s="44">
        <v>1726391.5</v>
      </c>
      <c r="O204" s="45">
        <f t="shared" si="61"/>
        <v>86.319575</v>
      </c>
      <c r="P204" s="44">
        <v>2000000</v>
      </c>
      <c r="Q204" s="45">
        <f>P204/H204*100</f>
        <v>162.92894098632294</v>
      </c>
      <c r="R204" s="45">
        <f>P204/L204*100</f>
        <v>100</v>
      </c>
      <c r="S204" s="45">
        <f t="shared" si="62"/>
        <v>115.84857779941571</v>
      </c>
      <c r="T204" s="44">
        <v>2000000</v>
      </c>
      <c r="U204" s="44">
        <v>2000000</v>
      </c>
      <c r="V204" s="44">
        <f t="shared" si="57"/>
        <v>0</v>
      </c>
      <c r="W204" s="44"/>
      <c r="X204" s="44"/>
      <c r="Y204" s="44">
        <v>172.96</v>
      </c>
      <c r="Z204" s="90">
        <f t="shared" si="66"/>
        <v>0.008648</v>
      </c>
      <c r="AA204" s="90"/>
      <c r="AB204" s="44">
        <v>95715.46</v>
      </c>
      <c r="AC204" s="90">
        <f t="shared" si="64"/>
        <v>4.785773</v>
      </c>
      <c r="AD204" s="44">
        <v>439638</v>
      </c>
      <c r="AE204" s="90">
        <f t="shared" si="65"/>
        <v>21.9819</v>
      </c>
      <c r="AF204" s="90">
        <v>362917</v>
      </c>
      <c r="AG204" s="44">
        <v>2000000</v>
      </c>
      <c r="AH204" s="90">
        <v>439638</v>
      </c>
      <c r="AI204" s="45">
        <f t="shared" si="59"/>
        <v>21.9819</v>
      </c>
      <c r="AJ204" s="90">
        <v>480611</v>
      </c>
      <c r="AK204" s="45">
        <f t="shared" si="63"/>
        <v>24.03055</v>
      </c>
    </row>
    <row r="205" spans="1:37" s="43" customFormat="1" ht="11.25">
      <c r="A205" s="41" t="s">
        <v>337</v>
      </c>
      <c r="B205" s="42"/>
      <c r="C205" s="43" t="s">
        <v>338</v>
      </c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>
        <f>37779.69+9094.05</f>
        <v>46873.740000000005</v>
      </c>
      <c r="O205" s="45"/>
      <c r="P205" s="44"/>
      <c r="Q205" s="45"/>
      <c r="R205" s="45"/>
      <c r="S205" s="45">
        <f t="shared" si="62"/>
        <v>0</v>
      </c>
      <c r="T205" s="44"/>
      <c r="U205" s="44"/>
      <c r="V205" s="44">
        <f t="shared" si="57"/>
        <v>0</v>
      </c>
      <c r="W205" s="44"/>
      <c r="X205" s="44"/>
      <c r="Y205" s="44">
        <v>1072.33</v>
      </c>
      <c r="Z205" s="90"/>
      <c r="AA205" s="90"/>
      <c r="AB205" s="44">
        <v>5283.49</v>
      </c>
      <c r="AC205" s="90"/>
      <c r="AD205" s="44">
        <v>5456.45</v>
      </c>
      <c r="AE205" s="90"/>
      <c r="AF205" s="90"/>
      <c r="AH205" s="90">
        <v>5456.45</v>
      </c>
      <c r="AI205" s="45"/>
      <c r="AJ205" s="90">
        <v>5456.45</v>
      </c>
      <c r="AK205" s="45"/>
    </row>
    <row r="206" spans="1:37" ht="12.75" customHeight="1">
      <c r="A206" s="28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6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89"/>
      <c r="AA206" s="89"/>
      <c r="AB206" s="25"/>
      <c r="AC206" s="89"/>
      <c r="AD206" s="25"/>
      <c r="AE206" s="89"/>
      <c r="AF206" s="89"/>
      <c r="AH206" s="89"/>
      <c r="AI206" s="26"/>
      <c r="AJ206" s="89"/>
      <c r="AK206" s="26"/>
    </row>
    <row r="207" spans="1:37" s="47" customFormat="1" ht="15.75">
      <c r="A207" s="46">
        <v>72</v>
      </c>
      <c r="C207" s="47" t="s">
        <v>339</v>
      </c>
      <c r="D207" s="15">
        <f>D210+D220</f>
        <v>467544000</v>
      </c>
      <c r="E207" s="15">
        <f>E210+E220</f>
        <v>386493099</v>
      </c>
      <c r="F207" s="16">
        <f>E207/D207*100</f>
        <v>82.6645404496689</v>
      </c>
      <c r="G207" s="15">
        <f>G210+G220</f>
        <v>438000000</v>
      </c>
      <c r="H207" s="15">
        <f>H210+H220</f>
        <v>1377575470.81</v>
      </c>
      <c r="I207" s="16">
        <f>H207/G207*100</f>
        <v>314.51494767351596</v>
      </c>
      <c r="J207" s="15">
        <f>J210+J220</f>
        <v>277890000</v>
      </c>
      <c r="K207" s="15">
        <f>K210+K220</f>
        <v>879890000</v>
      </c>
      <c r="L207" s="15">
        <f>L210+L220</f>
        <v>1050000000</v>
      </c>
      <c r="M207" s="15">
        <f>L207-K207</f>
        <v>170110000</v>
      </c>
      <c r="N207" s="15">
        <f>N210+N220</f>
        <v>1057411007.66</v>
      </c>
      <c r="O207" s="16">
        <f>N207/L207*100</f>
        <v>100.70581025333334</v>
      </c>
      <c r="P207" s="15">
        <f>P210+P220</f>
        <v>752000000</v>
      </c>
      <c r="Q207" s="16">
        <f>P207/H207*100</f>
        <v>54.58866072563211</v>
      </c>
      <c r="R207" s="16">
        <f>P207/L207*100</f>
        <v>71.61904761904762</v>
      </c>
      <c r="S207" s="16">
        <f>P207/N207*100</f>
        <v>71.11709586456264</v>
      </c>
      <c r="T207" s="15">
        <f>T210+T220</f>
        <v>752000000</v>
      </c>
      <c r="U207" s="15">
        <f>U210+U220</f>
        <v>752000000</v>
      </c>
      <c r="V207" s="15">
        <f>U207-P207</f>
        <v>0</v>
      </c>
      <c r="W207" s="15"/>
      <c r="X207" s="15"/>
      <c r="Y207" s="15">
        <f>Y210+Y220</f>
        <v>89022848.8</v>
      </c>
      <c r="Z207" s="91">
        <f t="shared" si="66"/>
        <v>11.838144787234043</v>
      </c>
      <c r="AA207" s="91">
        <f>AA210+AA220</f>
        <v>0</v>
      </c>
      <c r="AB207" s="15">
        <f>AB210+AB220</f>
        <v>115382366.7</v>
      </c>
      <c r="AC207" s="91">
        <f t="shared" si="64"/>
        <v>15.34339982712766</v>
      </c>
      <c r="AD207" s="15">
        <f>AD210+AD220</f>
        <v>185871948.2</v>
      </c>
      <c r="AE207" s="91">
        <f t="shared" si="65"/>
        <v>24.71701438829787</v>
      </c>
      <c r="AF207" s="91">
        <f>AF210+AF220</f>
        <v>489248628</v>
      </c>
      <c r="AG207" s="15">
        <f>AG210+AG220</f>
        <v>817000000</v>
      </c>
      <c r="AH207" s="91">
        <f>AH210+AH220</f>
        <v>231072708.60000002</v>
      </c>
      <c r="AI207" s="16">
        <f>+AH207/AG207*100</f>
        <v>28.28307326805386</v>
      </c>
      <c r="AJ207" s="91">
        <f>AJ210+AJ220</f>
        <v>259347634.6</v>
      </c>
      <c r="AK207" s="16">
        <f t="shared" si="63"/>
        <v>31.74389652386781</v>
      </c>
    </row>
    <row r="208" spans="1:37" ht="12.75">
      <c r="A208" s="28"/>
      <c r="C208" s="29" t="s">
        <v>340</v>
      </c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6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89"/>
      <c r="AA208" s="89"/>
      <c r="AB208" s="25"/>
      <c r="AC208" s="89"/>
      <c r="AD208" s="25"/>
      <c r="AE208" s="89"/>
      <c r="AF208" s="89"/>
      <c r="AH208" s="89"/>
      <c r="AI208" s="26"/>
      <c r="AJ208" s="89"/>
      <c r="AK208" s="26"/>
    </row>
    <row r="209" spans="1:37" ht="12.75" customHeight="1">
      <c r="A209" s="28"/>
      <c r="C209" s="29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6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89"/>
      <c r="AA209" s="89"/>
      <c r="AB209" s="25"/>
      <c r="AC209" s="89"/>
      <c r="AD209" s="25"/>
      <c r="AE209" s="89"/>
      <c r="AF209" s="89"/>
      <c r="AH209" s="89"/>
      <c r="AI209" s="26"/>
      <c r="AJ209" s="89"/>
      <c r="AK209" s="26"/>
    </row>
    <row r="210" spans="1:37" s="31" customFormat="1" ht="12.75">
      <c r="A210" s="30">
        <v>720</v>
      </c>
      <c r="C210" s="31" t="s">
        <v>341</v>
      </c>
      <c r="D210" s="32">
        <f>D211</f>
        <v>425544000</v>
      </c>
      <c r="E210" s="32">
        <f>E211</f>
        <v>351812063</v>
      </c>
      <c r="F210" s="22">
        <f>E210/D210*100</f>
        <v>82.67348687797266</v>
      </c>
      <c r="G210" s="32">
        <f>G211</f>
        <v>288000000</v>
      </c>
      <c r="H210" s="32">
        <f>H211</f>
        <v>323560920</v>
      </c>
      <c r="I210" s="22">
        <f>H210/G210*100</f>
        <v>112.34754166666667</v>
      </c>
      <c r="J210" s="32">
        <f>J211</f>
        <v>277890000</v>
      </c>
      <c r="K210" s="32">
        <f>K211</f>
        <v>277890000</v>
      </c>
      <c r="L210" s="32">
        <f>L211</f>
        <v>278000000</v>
      </c>
      <c r="M210" s="33">
        <f>L210-K210</f>
        <v>110000</v>
      </c>
      <c r="N210" s="32">
        <f>N211</f>
        <v>307334327.6</v>
      </c>
      <c r="O210" s="34">
        <f>N210/L210*100</f>
        <v>110.55191640287771</v>
      </c>
      <c r="P210" s="32">
        <f>+P211+P215</f>
        <v>338000000</v>
      </c>
      <c r="Q210" s="22">
        <f>P210/H210*100</f>
        <v>104.46255375958258</v>
      </c>
      <c r="R210" s="22">
        <f>P210/L210*100</f>
        <v>121.58273381294964</v>
      </c>
      <c r="S210" s="22">
        <f>P210/N210*100</f>
        <v>109.97795223184823</v>
      </c>
      <c r="T210" s="32">
        <f>T211</f>
        <v>338000000</v>
      </c>
      <c r="U210" s="32">
        <f>U211</f>
        <v>338000000</v>
      </c>
      <c r="V210" s="33">
        <f>U210-P210</f>
        <v>0</v>
      </c>
      <c r="W210" s="33"/>
      <c r="X210" s="33"/>
      <c r="Y210" s="32">
        <f>+Y211+Y215</f>
        <v>22726359.9</v>
      </c>
      <c r="Z210" s="87">
        <f t="shared" si="66"/>
        <v>6.723775118343195</v>
      </c>
      <c r="AA210" s="87">
        <f>AA211</f>
        <v>0</v>
      </c>
      <c r="AB210" s="32">
        <f>+AB211+AB215</f>
        <v>42623114.8</v>
      </c>
      <c r="AC210" s="87">
        <f t="shared" si="64"/>
        <v>12.610388994082838</v>
      </c>
      <c r="AD210" s="32">
        <f>+AD211+AD215</f>
        <v>97240671.8</v>
      </c>
      <c r="AE210" s="87">
        <f t="shared" si="65"/>
        <v>28.769429526627217</v>
      </c>
      <c r="AF210" s="87">
        <f>+AF211+AF215</f>
        <v>150128689</v>
      </c>
      <c r="AG210" s="32">
        <f>+AG211+AG215</f>
        <v>338000000</v>
      </c>
      <c r="AH210" s="87">
        <f>AH211+AH215+AH217</f>
        <v>126498060.2</v>
      </c>
      <c r="AI210" s="22">
        <f>+AH210/AG210*100</f>
        <v>37.42546159763314</v>
      </c>
      <c r="AJ210" s="87">
        <f>AJ211+AJ215+AJ217</f>
        <v>153314370.2</v>
      </c>
      <c r="AK210" s="22">
        <f t="shared" si="63"/>
        <v>45.359281124260356</v>
      </c>
    </row>
    <row r="211" spans="1:37" s="31" customFormat="1" ht="12.75">
      <c r="A211" s="30">
        <v>7200</v>
      </c>
      <c r="C211" s="31" t="s">
        <v>342</v>
      </c>
      <c r="D211" s="32">
        <f>SUM(D212:D214)</f>
        <v>425544000</v>
      </c>
      <c r="E211" s="32">
        <f>SUM(E212:E214)</f>
        <v>351812063</v>
      </c>
      <c r="F211" s="34">
        <f>E211/D211*100</f>
        <v>82.67348687797266</v>
      </c>
      <c r="G211" s="32">
        <f>SUM(G212:G214)</f>
        <v>288000000</v>
      </c>
      <c r="H211" s="32">
        <f>SUM(H212:H214)</f>
        <v>323560920</v>
      </c>
      <c r="I211" s="34">
        <f>H211/G211*100</f>
        <v>112.34754166666667</v>
      </c>
      <c r="J211" s="32">
        <f>SUM(J212:J214)</f>
        <v>277890000</v>
      </c>
      <c r="K211" s="32">
        <f>SUM(K212:K214)</f>
        <v>277890000</v>
      </c>
      <c r="L211" s="32">
        <f>SUM(L212:L214)</f>
        <v>278000000</v>
      </c>
      <c r="M211" s="33">
        <f>L211-K211</f>
        <v>110000</v>
      </c>
      <c r="N211" s="32">
        <f>SUM(N212:N214)</f>
        <v>307334327.6</v>
      </c>
      <c r="O211" s="34">
        <f>N211/L211*100</f>
        <v>110.55191640287771</v>
      </c>
      <c r="P211" s="32">
        <f>SUM(P212:P214)</f>
        <v>338000000</v>
      </c>
      <c r="Q211" s="22">
        <f>P211/H211*100</f>
        <v>104.46255375958258</v>
      </c>
      <c r="R211" s="22">
        <f>P211/L211*100</f>
        <v>121.58273381294964</v>
      </c>
      <c r="S211" s="22">
        <f>P211/N211*100</f>
        <v>109.97795223184823</v>
      </c>
      <c r="T211" s="32">
        <f>SUM(T212:T214)</f>
        <v>338000000</v>
      </c>
      <c r="U211" s="32">
        <f>SUM(U212:U214)</f>
        <v>338000000</v>
      </c>
      <c r="V211" s="33">
        <f>U211-P211</f>
        <v>0</v>
      </c>
      <c r="W211" s="33"/>
      <c r="X211" s="33"/>
      <c r="Y211" s="32">
        <f>SUM(Y212:Y214)</f>
        <v>22696359.9</v>
      </c>
      <c r="Z211" s="87">
        <f t="shared" si="66"/>
        <v>6.714899378698225</v>
      </c>
      <c r="AA211" s="87">
        <f>SUM(AA212:AA214)</f>
        <v>0</v>
      </c>
      <c r="AB211" s="32">
        <f>SUM(AB212:AB214)</f>
        <v>42496614.8</v>
      </c>
      <c r="AC211" s="87">
        <f t="shared" si="64"/>
        <v>12.57296295857988</v>
      </c>
      <c r="AD211" s="32">
        <f>SUM(AD212:AD214)</f>
        <v>97114171.8</v>
      </c>
      <c r="AE211" s="87">
        <f t="shared" si="65"/>
        <v>28.73200349112426</v>
      </c>
      <c r="AF211" s="87">
        <f>SUM(AF212:AF214)</f>
        <v>150128689</v>
      </c>
      <c r="AG211" s="32">
        <f>SUM(AG212:AG214)</f>
        <v>338000000</v>
      </c>
      <c r="AH211" s="87">
        <f>SUM(AH212:AH214)</f>
        <v>126371560.2</v>
      </c>
      <c r="AI211" s="22">
        <f>+AH211/AG211*100</f>
        <v>37.38803556213018</v>
      </c>
      <c r="AJ211" s="87">
        <f>SUM(AJ212:AJ214)</f>
        <v>153187870.2</v>
      </c>
      <c r="AK211" s="22">
        <f t="shared" si="63"/>
        <v>45.321855088757395</v>
      </c>
    </row>
    <row r="212" spans="1:37" s="36" customFormat="1" ht="12.75" customHeight="1">
      <c r="A212" s="35" t="s">
        <v>343</v>
      </c>
      <c r="C212" s="36" t="s">
        <v>344</v>
      </c>
      <c r="D212" s="37">
        <v>335000000</v>
      </c>
      <c r="E212" s="37">
        <v>319317154</v>
      </c>
      <c r="F212" s="38">
        <f>E212/D212*100</f>
        <v>95.31855343283581</v>
      </c>
      <c r="G212" s="37">
        <v>270000000</v>
      </c>
      <c r="H212" s="37"/>
      <c r="I212" s="38">
        <f>H212/G212*100</f>
        <v>0</v>
      </c>
      <c r="J212" s="37">
        <v>259890000</v>
      </c>
      <c r="K212" s="37"/>
      <c r="L212" s="37"/>
      <c r="M212" s="37">
        <f>L212-K212</f>
        <v>0</v>
      </c>
      <c r="N212" s="37"/>
      <c r="O212" s="39"/>
      <c r="P212" s="37">
        <v>40000000</v>
      </c>
      <c r="Q212" s="37"/>
      <c r="R212" s="37"/>
      <c r="S212" s="37"/>
      <c r="T212" s="37">
        <v>40000000</v>
      </c>
      <c r="U212" s="37">
        <v>40000000</v>
      </c>
      <c r="V212" s="37">
        <f>U212-P212</f>
        <v>0</v>
      </c>
      <c r="W212" s="37"/>
      <c r="X212" s="37"/>
      <c r="Y212" s="37">
        <v>312702</v>
      </c>
      <c r="Z212" s="88">
        <f t="shared" si="66"/>
        <v>0.781755</v>
      </c>
      <c r="AA212" s="88"/>
      <c r="AB212" s="37">
        <v>312702</v>
      </c>
      <c r="AC212" s="88">
        <f t="shared" si="64"/>
        <v>0.781755</v>
      </c>
      <c r="AD212" s="37">
        <v>312702</v>
      </c>
      <c r="AE212" s="88">
        <f t="shared" si="65"/>
        <v>0.781755</v>
      </c>
      <c r="AF212" s="88"/>
      <c r="AG212" s="37">
        <v>40000000</v>
      </c>
      <c r="AH212" s="88">
        <v>312702</v>
      </c>
      <c r="AI212" s="39">
        <f>+AH212/AG212*100</f>
        <v>0.781755</v>
      </c>
      <c r="AJ212" s="88">
        <v>1099881</v>
      </c>
      <c r="AK212" s="39">
        <f t="shared" si="63"/>
        <v>2.7497025</v>
      </c>
    </row>
    <row r="213" spans="1:37" s="36" customFormat="1" ht="12.75" customHeight="1">
      <c r="A213" s="35" t="s">
        <v>345</v>
      </c>
      <c r="C213" s="36" t="s">
        <v>346</v>
      </c>
      <c r="D213" s="37">
        <v>74164000</v>
      </c>
      <c r="E213" s="37">
        <v>31111372</v>
      </c>
      <c r="F213" s="38">
        <f>E213/D213*100</f>
        <v>41.94942559732485</v>
      </c>
      <c r="G213" s="37"/>
      <c r="H213" s="37">
        <v>321430792</v>
      </c>
      <c r="I213" s="38"/>
      <c r="J213" s="37"/>
      <c r="K213" s="37">
        <v>259890000</v>
      </c>
      <c r="L213" s="37">
        <v>260000000</v>
      </c>
      <c r="M213" s="37">
        <f>L213-K213</f>
        <v>110000</v>
      </c>
      <c r="N213" s="37">
        <v>305849748.6</v>
      </c>
      <c r="O213" s="39">
        <f>N213/L213*100</f>
        <v>117.6345186923077</v>
      </c>
      <c r="P213" s="37">
        <f>255000000+25000000</f>
        <v>280000000</v>
      </c>
      <c r="Q213" s="39">
        <f>P213/H213*100</f>
        <v>87.110509312997</v>
      </c>
      <c r="R213" s="39">
        <f>P213/L213*100</f>
        <v>107.6923076923077</v>
      </c>
      <c r="S213" s="39">
        <f>P213/N213*100</f>
        <v>91.5482197653178</v>
      </c>
      <c r="T213" s="37">
        <f>255000000+25000000</f>
        <v>280000000</v>
      </c>
      <c r="U213" s="37">
        <f>255000000+25000000</f>
        <v>280000000</v>
      </c>
      <c r="V213" s="37">
        <f>U213-P213</f>
        <v>0</v>
      </c>
      <c r="W213" s="37"/>
      <c r="X213" s="37"/>
      <c r="Y213" s="37">
        <v>22383657.9</v>
      </c>
      <c r="Z213" s="88">
        <f t="shared" si="66"/>
        <v>7.994163535714286</v>
      </c>
      <c r="AA213" s="88"/>
      <c r="AB213" s="37">
        <v>42183912.8</v>
      </c>
      <c r="AC213" s="88">
        <f t="shared" si="64"/>
        <v>15.065683142857141</v>
      </c>
      <c r="AD213" s="37">
        <v>96801469.8</v>
      </c>
      <c r="AE213" s="88">
        <f t="shared" si="65"/>
        <v>34.5719535</v>
      </c>
      <c r="AF213" s="88">
        <v>149400653</v>
      </c>
      <c r="AG213" s="37">
        <f>255000000+25000000</f>
        <v>280000000</v>
      </c>
      <c r="AH213" s="88">
        <v>126058858.2</v>
      </c>
      <c r="AI213" s="39">
        <f>+AH213/AG213*100</f>
        <v>45.02102078571429</v>
      </c>
      <c r="AJ213" s="88">
        <v>152087989.2</v>
      </c>
      <c r="AK213" s="39">
        <f t="shared" si="63"/>
        <v>54.31713899999999</v>
      </c>
    </row>
    <row r="214" spans="1:37" s="36" customFormat="1" ht="12.75" customHeight="1">
      <c r="A214" s="35" t="s">
        <v>347</v>
      </c>
      <c r="C214" s="36" t="s">
        <v>348</v>
      </c>
      <c r="D214" s="37">
        <v>16380000</v>
      </c>
      <c r="E214" s="37">
        <v>1383537</v>
      </c>
      <c r="F214" s="38">
        <f>E214/D214*100</f>
        <v>8.446501831501832</v>
      </c>
      <c r="G214" s="37">
        <v>18000000</v>
      </c>
      <c r="H214" s="37">
        <v>2130128</v>
      </c>
      <c r="I214" s="38">
        <f>H214/G214*100</f>
        <v>11.834044444444444</v>
      </c>
      <c r="J214" s="37">
        <v>18000000</v>
      </c>
      <c r="K214" s="37">
        <v>18000000</v>
      </c>
      <c r="L214" s="37">
        <v>18000000</v>
      </c>
      <c r="M214" s="37">
        <f>L214-K214</f>
        <v>0</v>
      </c>
      <c r="N214" s="37">
        <v>1484579</v>
      </c>
      <c r="O214" s="39">
        <f>N214/L214*100</f>
        <v>8.24766111111111</v>
      </c>
      <c r="P214" s="37">
        <v>18000000</v>
      </c>
      <c r="Q214" s="39">
        <f>P214/H214*100</f>
        <v>845.0196420121232</v>
      </c>
      <c r="R214" s="39">
        <f>P214/L214*100</f>
        <v>100</v>
      </c>
      <c r="S214" s="39">
        <f>P214/N214*100</f>
        <v>1212.46494797515</v>
      </c>
      <c r="T214" s="37">
        <v>18000000</v>
      </c>
      <c r="U214" s="37">
        <v>18000000</v>
      </c>
      <c r="V214" s="37">
        <f>U214-P214</f>
        <v>0</v>
      </c>
      <c r="W214" s="37"/>
      <c r="X214" s="37"/>
      <c r="Y214" s="37">
        <v>0</v>
      </c>
      <c r="Z214" s="88">
        <f t="shared" si="66"/>
        <v>0</v>
      </c>
      <c r="AA214" s="88"/>
      <c r="AB214" s="37">
        <v>0</v>
      </c>
      <c r="AC214" s="88">
        <f t="shared" si="64"/>
        <v>0</v>
      </c>
      <c r="AD214" s="37">
        <v>0</v>
      </c>
      <c r="AE214" s="88">
        <f t="shared" si="65"/>
        <v>0</v>
      </c>
      <c r="AF214" s="88">
        <v>728036</v>
      </c>
      <c r="AG214" s="37">
        <v>18000000</v>
      </c>
      <c r="AH214" s="88">
        <v>0</v>
      </c>
      <c r="AI214" s="39">
        <f>+AH214/AG214*100</f>
        <v>0</v>
      </c>
      <c r="AJ214" s="88">
        <v>0</v>
      </c>
      <c r="AK214" s="39">
        <f t="shared" si="63"/>
        <v>0</v>
      </c>
    </row>
    <row r="215" spans="1:37" s="99" customFormat="1" ht="12.75" customHeight="1">
      <c r="A215" s="98">
        <v>7201</v>
      </c>
      <c r="C215" s="99" t="s">
        <v>582</v>
      </c>
      <c r="D215" s="33"/>
      <c r="E215" s="33"/>
      <c r="F215" s="22"/>
      <c r="G215" s="33"/>
      <c r="H215" s="33"/>
      <c r="I215" s="22"/>
      <c r="J215" s="33"/>
      <c r="K215" s="33"/>
      <c r="L215" s="33"/>
      <c r="M215" s="33"/>
      <c r="N215" s="33"/>
      <c r="O215" s="22"/>
      <c r="P215" s="33">
        <f>+P216</f>
        <v>0</v>
      </c>
      <c r="Q215" s="22"/>
      <c r="R215" s="22"/>
      <c r="S215" s="22"/>
      <c r="T215" s="33"/>
      <c r="U215" s="33"/>
      <c r="V215" s="33"/>
      <c r="W215" s="33"/>
      <c r="X215" s="33"/>
      <c r="Y215" s="33">
        <f>+Y216</f>
        <v>30000</v>
      </c>
      <c r="Z215" s="100"/>
      <c r="AA215" s="100"/>
      <c r="AB215" s="33">
        <f>+AB216+AB218</f>
        <v>126500</v>
      </c>
      <c r="AC215" s="100"/>
      <c r="AD215" s="33">
        <f>+AD216+AD218</f>
        <v>126500</v>
      </c>
      <c r="AE215" s="100"/>
      <c r="AF215" s="100">
        <f>+AF216</f>
        <v>0</v>
      </c>
      <c r="AG215" s="33">
        <f>+AG216</f>
        <v>0</v>
      </c>
      <c r="AH215" s="100">
        <f>+AH216</f>
        <v>30000</v>
      </c>
      <c r="AI215" s="22"/>
      <c r="AJ215" s="100">
        <f>+AJ216</f>
        <v>30000</v>
      </c>
      <c r="AK215" s="22"/>
    </row>
    <row r="216" spans="1:37" s="36" customFormat="1" ht="12.75" customHeight="1">
      <c r="A216" s="35">
        <v>720100</v>
      </c>
      <c r="C216" s="36" t="s">
        <v>583</v>
      </c>
      <c r="D216" s="37"/>
      <c r="E216" s="37"/>
      <c r="F216" s="38"/>
      <c r="G216" s="37"/>
      <c r="H216" s="37"/>
      <c r="I216" s="38"/>
      <c r="J216" s="37"/>
      <c r="K216" s="37"/>
      <c r="L216" s="37"/>
      <c r="M216" s="37"/>
      <c r="N216" s="37"/>
      <c r="O216" s="39"/>
      <c r="P216" s="37"/>
      <c r="Q216" s="39"/>
      <c r="R216" s="39"/>
      <c r="S216" s="39"/>
      <c r="T216" s="37"/>
      <c r="U216" s="37"/>
      <c r="V216" s="37"/>
      <c r="W216" s="37"/>
      <c r="X216" s="37"/>
      <c r="Y216" s="37">
        <v>30000</v>
      </c>
      <c r="Z216" s="88"/>
      <c r="AA216" s="88"/>
      <c r="AB216" s="37">
        <v>30000</v>
      </c>
      <c r="AC216" s="88"/>
      <c r="AD216" s="37">
        <v>30000</v>
      </c>
      <c r="AE216" s="88"/>
      <c r="AF216" s="88"/>
      <c r="AG216" s="37"/>
      <c r="AH216" s="88">
        <v>30000</v>
      </c>
      <c r="AI216" s="39"/>
      <c r="AJ216" s="88">
        <v>30000</v>
      </c>
      <c r="AK216" s="39"/>
    </row>
    <row r="217" spans="1:37" s="99" customFormat="1" ht="12.75" customHeight="1">
      <c r="A217" s="98">
        <v>7202</v>
      </c>
      <c r="C217" s="99" t="s">
        <v>608</v>
      </c>
      <c r="D217" s="33"/>
      <c r="E217" s="33"/>
      <c r="F217" s="22"/>
      <c r="G217" s="33"/>
      <c r="H217" s="33"/>
      <c r="I217" s="22"/>
      <c r="J217" s="33"/>
      <c r="K217" s="33"/>
      <c r="L217" s="33"/>
      <c r="M217" s="33"/>
      <c r="N217" s="33"/>
      <c r="O217" s="22"/>
      <c r="P217" s="33"/>
      <c r="Q217" s="22"/>
      <c r="R217" s="22"/>
      <c r="S217" s="22"/>
      <c r="T217" s="33"/>
      <c r="U217" s="33"/>
      <c r="V217" s="33"/>
      <c r="W217" s="33"/>
      <c r="X217" s="33"/>
      <c r="Y217" s="33"/>
      <c r="Z217" s="100"/>
      <c r="AA217" s="100"/>
      <c r="AB217" s="33"/>
      <c r="AC217" s="100"/>
      <c r="AD217" s="33"/>
      <c r="AE217" s="100"/>
      <c r="AF217" s="100">
        <f>+AF218</f>
        <v>0</v>
      </c>
      <c r="AG217" s="33">
        <f>+AG218</f>
        <v>0</v>
      </c>
      <c r="AH217" s="100">
        <f>+AH218</f>
        <v>96500</v>
      </c>
      <c r="AI217" s="22"/>
      <c r="AJ217" s="100">
        <f>+AJ218</f>
        <v>96500</v>
      </c>
      <c r="AK217" s="22"/>
    </row>
    <row r="218" spans="1:37" s="36" customFormat="1" ht="12.75" customHeight="1">
      <c r="A218" s="35">
        <v>720299</v>
      </c>
      <c r="C218" s="36" t="s">
        <v>593</v>
      </c>
      <c r="D218" s="37"/>
      <c r="E218" s="37"/>
      <c r="F218" s="38"/>
      <c r="G218" s="37"/>
      <c r="H218" s="37"/>
      <c r="I218" s="38"/>
      <c r="J218" s="37"/>
      <c r="K218" s="37"/>
      <c r="L218" s="37"/>
      <c r="M218" s="37"/>
      <c r="N218" s="37"/>
      <c r="O218" s="39"/>
      <c r="P218" s="37"/>
      <c r="Q218" s="39"/>
      <c r="R218" s="39"/>
      <c r="S218" s="39"/>
      <c r="T218" s="37"/>
      <c r="U218" s="37"/>
      <c r="V218" s="37"/>
      <c r="W218" s="37"/>
      <c r="X218" s="37"/>
      <c r="Y218" s="37"/>
      <c r="Z218" s="88"/>
      <c r="AA218" s="88"/>
      <c r="AB218" s="37">
        <v>96500</v>
      </c>
      <c r="AC218" s="88"/>
      <c r="AD218" s="37">
        <v>96500</v>
      </c>
      <c r="AE218" s="88"/>
      <c r="AF218" s="88"/>
      <c r="AG218" s="33"/>
      <c r="AH218" s="88">
        <v>96500</v>
      </c>
      <c r="AI218" s="39"/>
      <c r="AJ218" s="88">
        <v>96500</v>
      </c>
      <c r="AK218" s="39"/>
    </row>
    <row r="219" spans="1:37" ht="12.75" customHeight="1">
      <c r="A219" s="28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6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89"/>
      <c r="AA219" s="89"/>
      <c r="AB219" s="25"/>
      <c r="AC219" s="89"/>
      <c r="AD219" s="25"/>
      <c r="AE219" s="89"/>
      <c r="AF219" s="89"/>
      <c r="AG219" s="37"/>
      <c r="AH219" s="89"/>
      <c r="AI219" s="26"/>
      <c r="AJ219" s="89"/>
      <c r="AK219" s="26"/>
    </row>
    <row r="220" spans="1:37" s="31" customFormat="1" ht="12.75">
      <c r="A220" s="30">
        <v>722</v>
      </c>
      <c r="C220" s="31" t="s">
        <v>349</v>
      </c>
      <c r="D220" s="32">
        <f>D221</f>
        <v>42000000</v>
      </c>
      <c r="E220" s="32">
        <f>E221</f>
        <v>34681036</v>
      </c>
      <c r="F220" s="22">
        <f>E220/D220*100</f>
        <v>82.57389523809525</v>
      </c>
      <c r="G220" s="32">
        <f>G221</f>
        <v>150000000</v>
      </c>
      <c r="H220" s="32">
        <f>H221</f>
        <v>1054014550.81</v>
      </c>
      <c r="I220" s="22">
        <f>H220/G220*100</f>
        <v>702.6763672066667</v>
      </c>
      <c r="J220" s="32">
        <f aca="true" t="shared" si="67" ref="J220:L221">J221</f>
        <v>0</v>
      </c>
      <c r="K220" s="32">
        <f t="shared" si="67"/>
        <v>602000000</v>
      </c>
      <c r="L220" s="32">
        <f t="shared" si="67"/>
        <v>772000000</v>
      </c>
      <c r="M220" s="33">
        <f>L220-K220</f>
        <v>170000000</v>
      </c>
      <c r="N220" s="32">
        <f>N221</f>
        <v>750076680.06</v>
      </c>
      <c r="O220" s="34">
        <f>N220/L220*100</f>
        <v>97.16019171761657</v>
      </c>
      <c r="P220" s="32">
        <f>P221</f>
        <v>414000000</v>
      </c>
      <c r="Q220" s="22">
        <f>P220/H220*100</f>
        <v>39.27839513048895</v>
      </c>
      <c r="R220" s="22">
        <f>P220/L220*100</f>
        <v>53.626943005181346</v>
      </c>
      <c r="S220" s="22">
        <f>P220/N220*100</f>
        <v>55.19435692453249</v>
      </c>
      <c r="T220" s="32">
        <f>T221</f>
        <v>414000000</v>
      </c>
      <c r="U220" s="32">
        <f>U221</f>
        <v>414000000</v>
      </c>
      <c r="V220" s="33">
        <f aca="true" t="shared" si="68" ref="V220:V225">U220-P220</f>
        <v>0</v>
      </c>
      <c r="W220" s="33"/>
      <c r="X220" s="33"/>
      <c r="Y220" s="32">
        <f>Y221</f>
        <v>66296488.9</v>
      </c>
      <c r="Z220" s="87">
        <f t="shared" si="66"/>
        <v>16.013644661835748</v>
      </c>
      <c r="AA220" s="87">
        <f>AA221</f>
        <v>0</v>
      </c>
      <c r="AB220" s="32">
        <f>AB221</f>
        <v>72759251.9</v>
      </c>
      <c r="AC220" s="87">
        <f t="shared" si="64"/>
        <v>17.57469852657005</v>
      </c>
      <c r="AD220" s="32">
        <f>AD221</f>
        <v>88631276.4</v>
      </c>
      <c r="AE220" s="87">
        <f t="shared" si="65"/>
        <v>21.40852086956522</v>
      </c>
      <c r="AF220" s="87">
        <f aca="true" t="shared" si="69" ref="AF220:AH221">AF221</f>
        <v>339119939</v>
      </c>
      <c r="AG220" s="32">
        <f t="shared" si="69"/>
        <v>479000000</v>
      </c>
      <c r="AH220" s="87">
        <f t="shared" si="69"/>
        <v>104574648.4</v>
      </c>
      <c r="AI220" s="22">
        <f aca="true" t="shared" si="70" ref="AI220:AI225">+AH220/AG220*100</f>
        <v>21.831868141962424</v>
      </c>
      <c r="AJ220" s="87">
        <f>AJ221</f>
        <v>106033264.4</v>
      </c>
      <c r="AK220" s="22">
        <f t="shared" si="63"/>
        <v>22.13638087682672</v>
      </c>
    </row>
    <row r="221" spans="1:37" s="31" customFormat="1" ht="12.75">
      <c r="A221" s="30">
        <v>7221</v>
      </c>
      <c r="C221" s="31" t="s">
        <v>350</v>
      </c>
      <c r="D221" s="32">
        <f>D222</f>
        <v>42000000</v>
      </c>
      <c r="E221" s="32">
        <f>E222</f>
        <v>34681036</v>
      </c>
      <c r="F221" s="34">
        <f>E221/D221*100</f>
        <v>82.57389523809525</v>
      </c>
      <c r="G221" s="32">
        <f>SUM(G222:G222)</f>
        <v>150000000</v>
      </c>
      <c r="H221" s="32">
        <f>H222</f>
        <v>1054014550.81</v>
      </c>
      <c r="I221" s="32">
        <f>I222</f>
        <v>0</v>
      </c>
      <c r="J221" s="32">
        <f t="shared" si="67"/>
        <v>0</v>
      </c>
      <c r="K221" s="32">
        <f t="shared" si="67"/>
        <v>602000000</v>
      </c>
      <c r="L221" s="32">
        <f t="shared" si="67"/>
        <v>772000000</v>
      </c>
      <c r="M221" s="33">
        <f>L221-K221</f>
        <v>170000000</v>
      </c>
      <c r="N221" s="32">
        <f>N222</f>
        <v>750076680.06</v>
      </c>
      <c r="O221" s="34">
        <f>N221/L221*100</f>
        <v>97.16019171761657</v>
      </c>
      <c r="P221" s="32">
        <f>P222</f>
        <v>414000000</v>
      </c>
      <c r="Q221" s="22">
        <f>P221/H221*100</f>
        <v>39.27839513048895</v>
      </c>
      <c r="R221" s="22">
        <f>P221/L221*100</f>
        <v>53.626943005181346</v>
      </c>
      <c r="S221" s="22">
        <f>P221/N221*100</f>
        <v>55.19435692453249</v>
      </c>
      <c r="T221" s="32">
        <f>T222</f>
        <v>414000000</v>
      </c>
      <c r="U221" s="32">
        <f>U222</f>
        <v>414000000</v>
      </c>
      <c r="V221" s="33">
        <f t="shared" si="68"/>
        <v>0</v>
      </c>
      <c r="W221" s="33"/>
      <c r="X221" s="33"/>
      <c r="Y221" s="32">
        <f>Y222</f>
        <v>66296488.9</v>
      </c>
      <c r="Z221" s="87">
        <f t="shared" si="66"/>
        <v>16.013644661835748</v>
      </c>
      <c r="AA221" s="87">
        <f>AA222</f>
        <v>0</v>
      </c>
      <c r="AB221" s="32">
        <f>AB222</f>
        <v>72759251.9</v>
      </c>
      <c r="AC221" s="87">
        <f t="shared" si="64"/>
        <v>17.57469852657005</v>
      </c>
      <c r="AD221" s="32">
        <f>AD222</f>
        <v>88631276.4</v>
      </c>
      <c r="AE221" s="87">
        <f t="shared" si="65"/>
        <v>21.40852086956522</v>
      </c>
      <c r="AF221" s="87">
        <f t="shared" si="69"/>
        <v>339119939</v>
      </c>
      <c r="AG221" s="32">
        <f t="shared" si="69"/>
        <v>479000000</v>
      </c>
      <c r="AH221" s="87">
        <f t="shared" si="69"/>
        <v>104574648.4</v>
      </c>
      <c r="AI221" s="22">
        <f t="shared" si="70"/>
        <v>21.831868141962424</v>
      </c>
      <c r="AJ221" s="87">
        <f>AJ222</f>
        <v>106033264.4</v>
      </c>
      <c r="AK221" s="22">
        <f t="shared" si="63"/>
        <v>22.13638087682672</v>
      </c>
    </row>
    <row r="222" spans="1:37" s="36" customFormat="1" ht="12.75" customHeight="1">
      <c r="A222" s="35" t="s">
        <v>351</v>
      </c>
      <c r="C222" s="36" t="s">
        <v>350</v>
      </c>
      <c r="D222" s="37">
        <f>SUM(D223:D225)</f>
        <v>42000000</v>
      </c>
      <c r="E222" s="37">
        <f>SUM(E223:E225)</f>
        <v>34681036</v>
      </c>
      <c r="F222" s="38">
        <f>E222/D222*100</f>
        <v>82.57389523809525</v>
      </c>
      <c r="G222" s="37">
        <v>150000000</v>
      </c>
      <c r="H222" s="37">
        <f>SUM(H223:H225)</f>
        <v>1054014550.81</v>
      </c>
      <c r="I222" s="37">
        <f>SUM(I223:I225)</f>
        <v>0</v>
      </c>
      <c r="J222" s="37">
        <f>SUM(J223:J225)</f>
        <v>0</v>
      </c>
      <c r="K222" s="37">
        <f>SUM(K223:K225)</f>
        <v>602000000</v>
      </c>
      <c r="L222" s="37">
        <f>SUM(L223:L225)</f>
        <v>772000000</v>
      </c>
      <c r="M222" s="37">
        <f>L222-K222</f>
        <v>170000000</v>
      </c>
      <c r="N222" s="37">
        <f>SUM(N223:N225)</f>
        <v>750076680.06</v>
      </c>
      <c r="O222" s="39">
        <f>N222/L222*100</f>
        <v>97.16019171761657</v>
      </c>
      <c r="P222" s="37">
        <f>SUM(P223:P225)</f>
        <v>414000000</v>
      </c>
      <c r="Q222" s="37">
        <f aca="true" t="shared" si="71" ref="Q222:Y222">SUM(Q223:Q225)</f>
        <v>250.68018589801716</v>
      </c>
      <c r="R222" s="37">
        <f t="shared" si="71"/>
        <v>111.89189189189189</v>
      </c>
      <c r="S222" s="37">
        <f t="shared" si="71"/>
        <v>122.43190112018291</v>
      </c>
      <c r="T222" s="37">
        <f t="shared" si="71"/>
        <v>414000000</v>
      </c>
      <c r="U222" s="37">
        <f t="shared" si="71"/>
        <v>414000000</v>
      </c>
      <c r="V222" s="37">
        <f t="shared" si="71"/>
        <v>0</v>
      </c>
      <c r="W222" s="37">
        <f t="shared" si="71"/>
        <v>0</v>
      </c>
      <c r="X222" s="37">
        <f t="shared" si="71"/>
        <v>0</v>
      </c>
      <c r="Y222" s="37">
        <f t="shared" si="71"/>
        <v>66296488.9</v>
      </c>
      <c r="Z222" s="88">
        <f t="shared" si="66"/>
        <v>16.013644661835748</v>
      </c>
      <c r="AA222" s="88">
        <f>SUM(AA223:AA225)</f>
        <v>0</v>
      </c>
      <c r="AB222" s="37">
        <f>SUM(AB223:AB225)</f>
        <v>72759251.9</v>
      </c>
      <c r="AC222" s="88">
        <f t="shared" si="64"/>
        <v>17.57469852657005</v>
      </c>
      <c r="AD222" s="37">
        <f>SUM(AD223:AD225)</f>
        <v>88631276.4</v>
      </c>
      <c r="AE222" s="88">
        <f t="shared" si="65"/>
        <v>21.40852086956522</v>
      </c>
      <c r="AF222" s="88">
        <v>339119939</v>
      </c>
      <c r="AG222" s="37">
        <f>SUM(AG224:AG226)</f>
        <v>479000000</v>
      </c>
      <c r="AH222" s="88">
        <f>SUM(AH223:AH225)</f>
        <v>104574648.4</v>
      </c>
      <c r="AI222" s="39">
        <f t="shared" si="70"/>
        <v>21.831868141962424</v>
      </c>
      <c r="AJ222" s="88">
        <f>SUM(AJ223:AJ225)</f>
        <v>106033264.4</v>
      </c>
      <c r="AK222" s="39">
        <f t="shared" si="63"/>
        <v>22.13638087682672</v>
      </c>
    </row>
    <row r="223" spans="1:37" s="43" customFormat="1" ht="12.75" customHeight="1">
      <c r="A223" s="41" t="s">
        <v>352</v>
      </c>
      <c r="B223" s="42"/>
      <c r="C223" s="43" t="s">
        <v>353</v>
      </c>
      <c r="D223" s="44"/>
      <c r="E223" s="44"/>
      <c r="F223" s="45"/>
      <c r="G223" s="44"/>
      <c r="H223" s="37">
        <v>165150667.38</v>
      </c>
      <c r="I223" s="45"/>
      <c r="J223" s="44"/>
      <c r="K223" s="44">
        <v>200000000</v>
      </c>
      <c r="L223" s="44">
        <v>370000000</v>
      </c>
      <c r="M223" s="44">
        <f>L223-K223</f>
        <v>170000000</v>
      </c>
      <c r="N223" s="44">
        <v>338147162.8</v>
      </c>
      <c r="O223" s="45">
        <f>N223/L223*100</f>
        <v>91.39112508108109</v>
      </c>
      <c r="P223" s="44">
        <f>250000000+120000000+44000000</f>
        <v>414000000</v>
      </c>
      <c r="Q223" s="45">
        <f>P223/H223*100</f>
        <v>250.68018589801716</v>
      </c>
      <c r="R223" s="45">
        <f>P223/L223*100</f>
        <v>111.89189189189189</v>
      </c>
      <c r="S223" s="45">
        <f>P223/N223*100</f>
        <v>122.43190112018291</v>
      </c>
      <c r="T223" s="44">
        <f>250000000+120000000+44000000</f>
        <v>414000000</v>
      </c>
      <c r="U223" s="44">
        <f>250000000+120000000+44000000</f>
        <v>414000000</v>
      </c>
      <c r="V223" s="44">
        <f t="shared" si="68"/>
        <v>0</v>
      </c>
      <c r="W223" s="44"/>
      <c r="X223" s="44"/>
      <c r="Y223" s="44">
        <v>66296488.9</v>
      </c>
      <c r="Z223" s="90">
        <f t="shared" si="66"/>
        <v>16.013644661835748</v>
      </c>
      <c r="AA223" s="90"/>
      <c r="AB223" s="44">
        <v>72759251.9</v>
      </c>
      <c r="AC223" s="90">
        <f t="shared" si="64"/>
        <v>17.57469852657005</v>
      </c>
      <c r="AD223" s="44">
        <v>88631276.4</v>
      </c>
      <c r="AE223" s="90">
        <f t="shared" si="65"/>
        <v>21.40852086956522</v>
      </c>
      <c r="AF223" s="90">
        <v>339119939</v>
      </c>
      <c r="AG223" s="52">
        <v>479000000</v>
      </c>
      <c r="AH223" s="90">
        <v>104574648.4</v>
      </c>
      <c r="AI223" s="45">
        <f t="shared" si="70"/>
        <v>21.831868141962424</v>
      </c>
      <c r="AJ223" s="90">
        <v>106033264.4</v>
      </c>
      <c r="AK223" s="45">
        <f t="shared" si="63"/>
        <v>22.13638087682672</v>
      </c>
    </row>
    <row r="224" spans="1:37" s="43" customFormat="1" ht="11.25" hidden="1">
      <c r="A224" s="41" t="s">
        <v>354</v>
      </c>
      <c r="B224" s="42"/>
      <c r="C224" s="43" t="s">
        <v>355</v>
      </c>
      <c r="D224" s="44"/>
      <c r="E224" s="44"/>
      <c r="F224" s="45"/>
      <c r="G224" s="44"/>
      <c r="H224" s="44">
        <v>888863883.43</v>
      </c>
      <c r="I224" s="45"/>
      <c r="J224" s="44"/>
      <c r="K224" s="44">
        <v>402000000</v>
      </c>
      <c r="L224" s="44">
        <v>402000000</v>
      </c>
      <c r="M224" s="44">
        <f>L224-K224</f>
        <v>0</v>
      </c>
      <c r="N224" s="44">
        <v>411929517.26</v>
      </c>
      <c r="O224" s="45">
        <f>N224/L224*100</f>
        <v>102.47002916915422</v>
      </c>
      <c r="P224" s="44"/>
      <c r="Q224" s="44">
        <f>P224/H224*100</f>
        <v>0</v>
      </c>
      <c r="R224" s="44"/>
      <c r="S224" s="44">
        <f>P224/N224*100</f>
        <v>0</v>
      </c>
      <c r="T224" s="44"/>
      <c r="U224" s="44"/>
      <c r="V224" s="44">
        <f t="shared" si="68"/>
        <v>0</v>
      </c>
      <c r="W224" s="44"/>
      <c r="X224" s="44"/>
      <c r="Y224" s="44"/>
      <c r="Z224" s="90"/>
      <c r="AA224" s="90"/>
      <c r="AB224" s="44"/>
      <c r="AC224" s="90" t="e">
        <f t="shared" si="64"/>
        <v>#DIV/0!</v>
      </c>
      <c r="AD224" s="44"/>
      <c r="AE224" s="90" t="e">
        <f t="shared" si="65"/>
        <v>#DIV/0!</v>
      </c>
      <c r="AF224" s="90">
        <v>479000000</v>
      </c>
      <c r="AG224" s="44">
        <v>479000000</v>
      </c>
      <c r="AH224" s="90"/>
      <c r="AI224" s="45">
        <f t="shared" si="70"/>
        <v>0</v>
      </c>
      <c r="AJ224" s="90"/>
      <c r="AK224" s="45">
        <f t="shared" si="63"/>
        <v>0</v>
      </c>
    </row>
    <row r="225" spans="1:37" s="43" customFormat="1" ht="11.25" hidden="1">
      <c r="A225" s="41" t="s">
        <v>356</v>
      </c>
      <c r="B225" s="42"/>
      <c r="C225" s="43" t="s">
        <v>357</v>
      </c>
      <c r="D225" s="44">
        <f>15000000+27000000</f>
        <v>42000000</v>
      </c>
      <c r="E225" s="44">
        <f>6833300+27847736</f>
        <v>34681036</v>
      </c>
      <c r="F225" s="44"/>
      <c r="G225" s="44"/>
      <c r="H225" s="44"/>
      <c r="I225" s="44"/>
      <c r="J225" s="44"/>
      <c r="K225" s="44"/>
      <c r="L225" s="44"/>
      <c r="M225" s="44"/>
      <c r="N225" s="44"/>
      <c r="O225" s="45"/>
      <c r="P225" s="44"/>
      <c r="Q225" s="44"/>
      <c r="R225" s="44"/>
      <c r="S225" s="44"/>
      <c r="T225" s="44"/>
      <c r="U225" s="44"/>
      <c r="V225" s="44">
        <f t="shared" si="68"/>
        <v>0</v>
      </c>
      <c r="W225" s="44"/>
      <c r="X225" s="44"/>
      <c r="Y225" s="44"/>
      <c r="Z225" s="90"/>
      <c r="AA225" s="90"/>
      <c r="AB225" s="44"/>
      <c r="AC225" s="90" t="e">
        <f t="shared" si="64"/>
        <v>#DIV/0!</v>
      </c>
      <c r="AD225" s="44"/>
      <c r="AE225" s="90" t="e">
        <f t="shared" si="65"/>
        <v>#DIV/0!</v>
      </c>
      <c r="AF225" s="90"/>
      <c r="AH225" s="90"/>
      <c r="AI225" s="45" t="e">
        <f t="shared" si="70"/>
        <v>#DIV/0!</v>
      </c>
      <c r="AJ225" s="90"/>
      <c r="AK225" s="45" t="e">
        <f t="shared" si="63"/>
        <v>#DIV/0!</v>
      </c>
    </row>
    <row r="226" spans="1:37" ht="12.75" customHeight="1">
      <c r="A226" s="28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6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89"/>
      <c r="AA226" s="89"/>
      <c r="AB226" s="25"/>
      <c r="AC226" s="89"/>
      <c r="AD226" s="25"/>
      <c r="AE226" s="89"/>
      <c r="AF226" s="89"/>
      <c r="AH226" s="89"/>
      <c r="AI226" s="26"/>
      <c r="AJ226" s="89"/>
      <c r="AK226" s="26"/>
    </row>
    <row r="227" spans="1:37" s="47" customFormat="1" ht="15.75">
      <c r="A227" s="46">
        <v>73</v>
      </c>
      <c r="C227" s="47" t="s">
        <v>358</v>
      </c>
      <c r="D227" s="15" t="e">
        <f>D229</f>
        <v>#REF!</v>
      </c>
      <c r="E227" s="15" t="e">
        <f>E229</f>
        <v>#REF!</v>
      </c>
      <c r="F227" s="16" t="e">
        <f>E227/D227*100</f>
        <v>#REF!</v>
      </c>
      <c r="G227" s="15" t="e">
        <f>G229</f>
        <v>#REF!</v>
      </c>
      <c r="H227" s="15">
        <f>H229</f>
        <v>0</v>
      </c>
      <c r="I227" s="16" t="e">
        <f>H227/G227*100</f>
        <v>#REF!</v>
      </c>
      <c r="J227" s="15">
        <f>J229</f>
        <v>0</v>
      </c>
      <c r="K227" s="15">
        <f>K229</f>
        <v>0</v>
      </c>
      <c r="L227" s="15">
        <f>L229</f>
        <v>0</v>
      </c>
      <c r="M227" s="15">
        <f>L227-K227</f>
        <v>0</v>
      </c>
      <c r="N227" s="15">
        <f>N229</f>
        <v>0</v>
      </c>
      <c r="O227" s="16"/>
      <c r="P227" s="15">
        <f>P229</f>
        <v>30843000</v>
      </c>
      <c r="Q227" s="16"/>
      <c r="R227" s="16"/>
      <c r="S227" s="16"/>
      <c r="T227" s="15">
        <f>T229</f>
        <v>30843000</v>
      </c>
      <c r="U227" s="15">
        <f>U229</f>
        <v>30843000</v>
      </c>
      <c r="V227" s="15">
        <f>U227-P227</f>
        <v>0</v>
      </c>
      <c r="W227" s="15"/>
      <c r="X227" s="15"/>
      <c r="Y227" s="15">
        <f>Y229</f>
        <v>0</v>
      </c>
      <c r="Z227" s="91">
        <f t="shared" si="66"/>
        <v>0</v>
      </c>
      <c r="AA227" s="91">
        <f>AA229</f>
        <v>0</v>
      </c>
      <c r="AB227" s="15">
        <f>AB229</f>
        <v>0</v>
      </c>
      <c r="AC227" s="91">
        <f t="shared" si="64"/>
        <v>0</v>
      </c>
      <c r="AD227" s="15">
        <f>AD229</f>
        <v>531852.6</v>
      </c>
      <c r="AE227" s="91">
        <f t="shared" si="65"/>
        <v>1.7243867328080926</v>
      </c>
      <c r="AF227" s="91">
        <f>AF229</f>
        <v>0</v>
      </c>
      <c r="AG227" s="15">
        <f>AG229</f>
        <v>30843000</v>
      </c>
      <c r="AH227" s="91">
        <f>AH229</f>
        <v>531852.6</v>
      </c>
      <c r="AI227" s="16">
        <f>+AH227/AG227*100</f>
        <v>1.7243867328080926</v>
      </c>
      <c r="AJ227" s="91">
        <f>AJ229</f>
        <v>12864456.99</v>
      </c>
      <c r="AK227" s="16">
        <f t="shared" si="63"/>
        <v>41.70948672308141</v>
      </c>
    </row>
    <row r="228" spans="1:37" ht="12.75" customHeight="1">
      <c r="A228" s="28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6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89"/>
      <c r="AA228" s="89"/>
      <c r="AB228" s="25"/>
      <c r="AC228" s="89"/>
      <c r="AD228" s="25"/>
      <c r="AE228" s="89"/>
      <c r="AF228" s="89"/>
      <c r="AH228" s="89"/>
      <c r="AI228" s="26"/>
      <c r="AJ228" s="89"/>
      <c r="AK228" s="26"/>
    </row>
    <row r="229" spans="1:37" s="31" customFormat="1" ht="12.75">
      <c r="A229" s="30">
        <v>731</v>
      </c>
      <c r="C229" s="31" t="s">
        <v>359</v>
      </c>
      <c r="D229" s="32" t="e">
        <f>D231+#REF!</f>
        <v>#REF!</v>
      </c>
      <c r="E229" s="32" t="e">
        <f>E231+#REF!</f>
        <v>#REF!</v>
      </c>
      <c r="F229" s="22" t="e">
        <f>E229/D229*100</f>
        <v>#REF!</v>
      </c>
      <c r="G229" s="32" t="e">
        <f>G231+#REF!</f>
        <v>#REF!</v>
      </c>
      <c r="H229" s="32">
        <f aca="true" t="shared" si="72" ref="H229:N230">H230</f>
        <v>0</v>
      </c>
      <c r="I229" s="32">
        <f t="shared" si="72"/>
        <v>0</v>
      </c>
      <c r="J229" s="32">
        <f t="shared" si="72"/>
        <v>0</v>
      </c>
      <c r="K229" s="32">
        <f t="shared" si="72"/>
        <v>0</v>
      </c>
      <c r="L229" s="32">
        <f t="shared" si="72"/>
        <v>0</v>
      </c>
      <c r="M229" s="32">
        <f t="shared" si="72"/>
        <v>0</v>
      </c>
      <c r="N229" s="32">
        <f t="shared" si="72"/>
        <v>0</v>
      </c>
      <c r="O229" s="34"/>
      <c r="P229" s="32">
        <f>P230</f>
        <v>30843000</v>
      </c>
      <c r="Q229" s="22"/>
      <c r="R229" s="22"/>
      <c r="S229" s="22"/>
      <c r="T229" s="32">
        <f>T230</f>
        <v>30843000</v>
      </c>
      <c r="U229" s="32">
        <f>U230</f>
        <v>30843000</v>
      </c>
      <c r="V229" s="33">
        <f>U229-P229</f>
        <v>0</v>
      </c>
      <c r="W229" s="33"/>
      <c r="X229" s="33"/>
      <c r="Y229" s="32">
        <f>Y230</f>
        <v>0</v>
      </c>
      <c r="Z229" s="87">
        <f t="shared" si="66"/>
        <v>0</v>
      </c>
      <c r="AA229" s="87">
        <f>AA230</f>
        <v>0</v>
      </c>
      <c r="AB229" s="32">
        <f>AB230</f>
        <v>0</v>
      </c>
      <c r="AC229" s="87">
        <f t="shared" si="64"/>
        <v>0</v>
      </c>
      <c r="AD229" s="32">
        <f>AD230</f>
        <v>531852.6</v>
      </c>
      <c r="AE229" s="87">
        <f t="shared" si="65"/>
        <v>1.7243867328080926</v>
      </c>
      <c r="AF229" s="87">
        <f aca="true" t="shared" si="73" ref="AF229:AH230">AF230</f>
        <v>0</v>
      </c>
      <c r="AG229" s="32">
        <f t="shared" si="73"/>
        <v>30843000</v>
      </c>
      <c r="AH229" s="87">
        <f t="shared" si="73"/>
        <v>531852.6</v>
      </c>
      <c r="AI229" s="22">
        <f>+AH229/AG229*100</f>
        <v>1.7243867328080926</v>
      </c>
      <c r="AJ229" s="87">
        <f>AJ230</f>
        <v>12864456.99</v>
      </c>
      <c r="AK229" s="22">
        <f t="shared" si="63"/>
        <v>41.70948672308141</v>
      </c>
    </row>
    <row r="230" spans="1:37" s="31" customFormat="1" ht="12.75">
      <c r="A230" s="30">
        <v>7310</v>
      </c>
      <c r="C230" s="31" t="s">
        <v>360</v>
      </c>
      <c r="D230" s="32">
        <f>SUM(D248:D255)</f>
        <v>0</v>
      </c>
      <c r="E230" s="32">
        <f>SUM(E248:E255)</f>
        <v>0</v>
      </c>
      <c r="F230" s="34" t="e">
        <f>E230/D230*100</f>
        <v>#DIV/0!</v>
      </c>
      <c r="G230" s="32">
        <f>SUM(G248:G255)</f>
        <v>0</v>
      </c>
      <c r="H230" s="32">
        <f t="shared" si="72"/>
        <v>0</v>
      </c>
      <c r="I230" s="32">
        <f t="shared" si="72"/>
        <v>0</v>
      </c>
      <c r="J230" s="32">
        <f t="shared" si="72"/>
        <v>0</v>
      </c>
      <c r="K230" s="32">
        <f t="shared" si="72"/>
        <v>0</v>
      </c>
      <c r="L230" s="32">
        <f t="shared" si="72"/>
        <v>0</v>
      </c>
      <c r="M230" s="32">
        <f t="shared" si="72"/>
        <v>0</v>
      </c>
      <c r="N230" s="32">
        <f t="shared" si="72"/>
        <v>0</v>
      </c>
      <c r="O230" s="34"/>
      <c r="P230" s="32">
        <f>P231</f>
        <v>30843000</v>
      </c>
      <c r="Q230" s="22"/>
      <c r="R230" s="22"/>
      <c r="S230" s="22"/>
      <c r="T230" s="32">
        <f>T231</f>
        <v>30843000</v>
      </c>
      <c r="U230" s="32">
        <f>U231</f>
        <v>30843000</v>
      </c>
      <c r="V230" s="33">
        <f>U230-P230</f>
        <v>0</v>
      </c>
      <c r="W230" s="33"/>
      <c r="X230" s="33"/>
      <c r="Y230" s="32">
        <f>Y231</f>
        <v>0</v>
      </c>
      <c r="Z230" s="87">
        <f t="shared" si="66"/>
        <v>0</v>
      </c>
      <c r="AA230" s="87">
        <f>AA231</f>
        <v>0</v>
      </c>
      <c r="AB230" s="32">
        <f>AB231</f>
        <v>0</v>
      </c>
      <c r="AC230" s="87">
        <f t="shared" si="64"/>
        <v>0</v>
      </c>
      <c r="AD230" s="32">
        <f>AD231</f>
        <v>531852.6</v>
      </c>
      <c r="AE230" s="87">
        <f t="shared" si="65"/>
        <v>1.7243867328080926</v>
      </c>
      <c r="AF230" s="87">
        <f t="shared" si="73"/>
        <v>0</v>
      </c>
      <c r="AG230" s="32">
        <f t="shared" si="73"/>
        <v>30843000</v>
      </c>
      <c r="AH230" s="87">
        <f t="shared" si="73"/>
        <v>531852.6</v>
      </c>
      <c r="AI230" s="22">
        <f>+AH230/AG230*100</f>
        <v>1.7243867328080926</v>
      </c>
      <c r="AJ230" s="87">
        <f>AJ231</f>
        <v>12864456.99</v>
      </c>
      <c r="AK230" s="22">
        <f t="shared" si="63"/>
        <v>41.70948672308141</v>
      </c>
    </row>
    <row r="231" spans="1:37" s="36" customFormat="1" ht="12.75" customHeight="1">
      <c r="A231" s="35" t="s">
        <v>361</v>
      </c>
      <c r="C231" s="36" t="s">
        <v>362</v>
      </c>
      <c r="D231" s="37"/>
      <c r="E231" s="37"/>
      <c r="F231" s="39"/>
      <c r="G231" s="37"/>
      <c r="H231" s="37"/>
      <c r="I231" s="37">
        <f>SUM(I233:I233)</f>
        <v>0</v>
      </c>
      <c r="J231" s="37">
        <f>SUM(J233:J233)</f>
        <v>0</v>
      </c>
      <c r="K231" s="37">
        <f>SUM(K233:K233)</f>
        <v>0</v>
      </c>
      <c r="L231" s="37"/>
      <c r="M231" s="37">
        <f>L231-K231</f>
        <v>0</v>
      </c>
      <c r="N231" s="37"/>
      <c r="O231" s="39"/>
      <c r="P231" s="37">
        <v>30843000</v>
      </c>
      <c r="Q231" s="39"/>
      <c r="R231" s="39"/>
      <c r="S231" s="39"/>
      <c r="T231" s="37">
        <v>30843000</v>
      </c>
      <c r="U231" s="37">
        <v>30843000</v>
      </c>
      <c r="V231" s="37">
        <f>U231-P231</f>
        <v>0</v>
      </c>
      <c r="W231" s="37"/>
      <c r="X231" s="37"/>
      <c r="Y231" s="37">
        <v>0</v>
      </c>
      <c r="Z231" s="88">
        <f t="shared" si="66"/>
        <v>0</v>
      </c>
      <c r="AA231" s="88"/>
      <c r="AB231" s="37">
        <v>0</v>
      </c>
      <c r="AC231" s="88">
        <f t="shared" si="64"/>
        <v>0</v>
      </c>
      <c r="AD231" s="37">
        <v>531852.6</v>
      </c>
      <c r="AE231" s="88">
        <f t="shared" si="65"/>
        <v>1.7243867328080926</v>
      </c>
      <c r="AF231" s="88"/>
      <c r="AG231" s="37">
        <v>30843000</v>
      </c>
      <c r="AH231" s="88">
        <v>531852.6</v>
      </c>
      <c r="AI231" s="39">
        <f>+AH231/AG231*100</f>
        <v>1.7243867328080926</v>
      </c>
      <c r="AJ231" s="88">
        <v>12864456.99</v>
      </c>
      <c r="AK231" s="39">
        <f t="shared" si="63"/>
        <v>41.70948672308141</v>
      </c>
    </row>
    <row r="232" spans="1:37" s="36" customFormat="1" ht="12.75" customHeight="1">
      <c r="A232" s="35"/>
      <c r="D232" s="37"/>
      <c r="E232" s="37"/>
      <c r="F232" s="39"/>
      <c r="G232" s="37"/>
      <c r="H232" s="37"/>
      <c r="I232" s="37"/>
      <c r="J232" s="37"/>
      <c r="K232" s="37"/>
      <c r="L232" s="37"/>
      <c r="M232" s="37"/>
      <c r="N232" s="37"/>
      <c r="O232" s="39"/>
      <c r="P232" s="37"/>
      <c r="Q232" s="39"/>
      <c r="R232" s="39"/>
      <c r="S232" s="39"/>
      <c r="T232" s="37"/>
      <c r="U232" s="37"/>
      <c r="V232" s="37"/>
      <c r="W232" s="37"/>
      <c r="X232" s="37"/>
      <c r="Y232" s="37"/>
      <c r="Z232" s="88"/>
      <c r="AA232" s="88"/>
      <c r="AB232" s="37"/>
      <c r="AC232" s="88"/>
      <c r="AD232" s="37"/>
      <c r="AE232" s="88"/>
      <c r="AF232" s="88"/>
      <c r="AG232" s="37"/>
      <c r="AH232" s="88"/>
      <c r="AI232" s="39"/>
      <c r="AJ232" s="88"/>
      <c r="AK232" s="39"/>
    </row>
    <row r="233" spans="1:37" ht="12.75" customHeight="1">
      <c r="A233" s="28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6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89"/>
      <c r="AA233" s="89"/>
      <c r="AB233" s="25"/>
      <c r="AC233" s="89" t="e">
        <f t="shared" si="64"/>
        <v>#DIV/0!</v>
      </c>
      <c r="AD233" s="25"/>
      <c r="AE233" s="89" t="e">
        <f t="shared" si="65"/>
        <v>#DIV/0!</v>
      </c>
      <c r="AF233" s="89"/>
      <c r="AH233" s="89"/>
      <c r="AI233" s="26"/>
      <c r="AJ233" s="89"/>
      <c r="AK233" s="26"/>
    </row>
    <row r="234" spans="1:37" s="47" customFormat="1" ht="15.75">
      <c r="A234" s="46">
        <v>74</v>
      </c>
      <c r="C234" s="47" t="s">
        <v>363</v>
      </c>
      <c r="D234" s="15">
        <f>D236</f>
        <v>255607000</v>
      </c>
      <c r="E234" s="15">
        <f>E236</f>
        <v>247637000</v>
      </c>
      <c r="F234" s="16">
        <f>E234/D234*100</f>
        <v>96.88193202846558</v>
      </c>
      <c r="G234" s="15">
        <f>G236</f>
        <v>358376000</v>
      </c>
      <c r="H234" s="15">
        <f>H236</f>
        <v>1719090044.75</v>
      </c>
      <c r="I234" s="16">
        <f>H234/G234*100</f>
        <v>479.68894254916626</v>
      </c>
      <c r="J234" s="15">
        <f>J236</f>
        <v>508654000</v>
      </c>
      <c r="K234" s="15">
        <f>K236</f>
        <v>784513980</v>
      </c>
      <c r="L234" s="15">
        <f>L236</f>
        <v>875291280</v>
      </c>
      <c r="M234" s="15">
        <f>L234-K234</f>
        <v>90777300</v>
      </c>
      <c r="N234" s="15">
        <f>N236</f>
        <v>683764184.24</v>
      </c>
      <c r="O234" s="16">
        <f>N234/L234*100</f>
        <v>78.11847322870622</v>
      </c>
      <c r="P234" s="15">
        <f>P236</f>
        <v>768168000</v>
      </c>
      <c r="Q234" s="16">
        <f>P234/H234*100</f>
        <v>44.684570325210125</v>
      </c>
      <c r="R234" s="16">
        <f>P234/L234*100</f>
        <v>87.76141354909876</v>
      </c>
      <c r="S234" s="16">
        <f>P234/N234*100</f>
        <v>112.34399486042317</v>
      </c>
      <c r="T234" s="15">
        <f>T236</f>
        <v>768168000</v>
      </c>
      <c r="U234" s="15">
        <f>U236</f>
        <v>899993700</v>
      </c>
      <c r="V234" s="15">
        <f>U234-P234</f>
        <v>131825700</v>
      </c>
      <c r="W234" s="15"/>
      <c r="X234" s="15"/>
      <c r="Y234" s="15">
        <f>Y236</f>
        <v>39452434.53</v>
      </c>
      <c r="Z234" s="91">
        <f t="shared" si="66"/>
        <v>5.135912265285719</v>
      </c>
      <c r="AA234" s="91">
        <f>AA236</f>
        <v>0</v>
      </c>
      <c r="AB234" s="15">
        <f>AB236</f>
        <v>77217085.88</v>
      </c>
      <c r="AC234" s="91">
        <f t="shared" si="64"/>
        <v>10.052109158413264</v>
      </c>
      <c r="AD234" s="15">
        <f>AD236</f>
        <v>167687917.32999998</v>
      </c>
      <c r="AE234" s="91">
        <f t="shared" si="65"/>
        <v>21.82958901308047</v>
      </c>
      <c r="AF234" s="91">
        <f>AF236</f>
        <v>343414359</v>
      </c>
      <c r="AG234" s="15">
        <f>AG236</f>
        <v>918334550</v>
      </c>
      <c r="AH234" s="91">
        <f>AH236</f>
        <v>220113929.38000003</v>
      </c>
      <c r="AI234" s="16">
        <f>+AH234/AG234*100</f>
        <v>23.968817178881054</v>
      </c>
      <c r="AJ234" s="91">
        <f>AJ236</f>
        <v>279851481.13</v>
      </c>
      <c r="AK234" s="16">
        <f t="shared" si="63"/>
        <v>30.47380512145601</v>
      </c>
    </row>
    <row r="235" spans="1:37" ht="12.75" customHeight="1">
      <c r="A235" s="28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6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89"/>
      <c r="AA235" s="89"/>
      <c r="AB235" s="25"/>
      <c r="AC235" s="89"/>
      <c r="AD235" s="25"/>
      <c r="AE235" s="89"/>
      <c r="AF235" s="89"/>
      <c r="AH235" s="89"/>
      <c r="AI235" s="26"/>
      <c r="AJ235" s="89"/>
      <c r="AK235" s="26"/>
    </row>
    <row r="236" spans="1:37" s="31" customFormat="1" ht="12.75">
      <c r="A236" s="30">
        <v>740</v>
      </c>
      <c r="C236" s="31" t="s">
        <v>364</v>
      </c>
      <c r="D236" s="32">
        <f>D238+D265</f>
        <v>255607000</v>
      </c>
      <c r="E236" s="32">
        <f>E238+E265</f>
        <v>247637000</v>
      </c>
      <c r="F236" s="22">
        <f>E236/D236*100</f>
        <v>96.88193202846558</v>
      </c>
      <c r="G236" s="32">
        <f>G238+G265</f>
        <v>358376000</v>
      </c>
      <c r="H236" s="32">
        <f>H238+H265</f>
        <v>1719090044.75</v>
      </c>
      <c r="I236" s="22">
        <f>H236/G236*100</f>
        <v>479.68894254916626</v>
      </c>
      <c r="J236" s="32">
        <f>J238+J265</f>
        <v>508654000</v>
      </c>
      <c r="K236" s="32">
        <f>K238+K265</f>
        <v>784513980</v>
      </c>
      <c r="L236" s="32">
        <f>L238+L265</f>
        <v>875291280</v>
      </c>
      <c r="M236" s="33">
        <f>L236-K236</f>
        <v>90777300</v>
      </c>
      <c r="N236" s="32">
        <f>N238+N265</f>
        <v>683764184.24</v>
      </c>
      <c r="O236" s="34">
        <f>N236/L236*100</f>
        <v>78.11847322870622</v>
      </c>
      <c r="P236" s="32">
        <f>P238+P265</f>
        <v>768168000</v>
      </c>
      <c r="Q236" s="22">
        <f>P236/H236*100</f>
        <v>44.684570325210125</v>
      </c>
      <c r="R236" s="22">
        <f>P236/L236*100</f>
        <v>87.76141354909876</v>
      </c>
      <c r="S236" s="22">
        <f>P236/N236*100</f>
        <v>112.34399486042317</v>
      </c>
      <c r="T236" s="32">
        <f>T238+T265</f>
        <v>768168000</v>
      </c>
      <c r="U236" s="32">
        <f>U238+U265</f>
        <v>899993700</v>
      </c>
      <c r="V236" s="33">
        <f>U236-P236</f>
        <v>131825700</v>
      </c>
      <c r="W236" s="33"/>
      <c r="X236" s="33"/>
      <c r="Y236" s="32">
        <f>Y238+Y265</f>
        <v>39452434.53</v>
      </c>
      <c r="Z236" s="87">
        <f t="shared" si="66"/>
        <v>5.135912265285719</v>
      </c>
      <c r="AA236" s="87">
        <f>AA238+AA265</f>
        <v>0</v>
      </c>
      <c r="AB236" s="32">
        <f>AB238+AB265</f>
        <v>77217085.88</v>
      </c>
      <c r="AC236" s="87">
        <f t="shared" si="64"/>
        <v>10.052109158413264</v>
      </c>
      <c r="AD236" s="32">
        <f>AD238+AD265</f>
        <v>167687917.32999998</v>
      </c>
      <c r="AE236" s="87">
        <f t="shared" si="65"/>
        <v>21.82958901308047</v>
      </c>
      <c r="AF236" s="87">
        <f>AF238+AF265</f>
        <v>343414359</v>
      </c>
      <c r="AG236" s="32">
        <f>AG238+AG265</f>
        <v>918334550</v>
      </c>
      <c r="AH236" s="87">
        <f>AH238+AH265</f>
        <v>220113929.38000003</v>
      </c>
      <c r="AI236" s="22">
        <f>+AH236/AG236*100</f>
        <v>23.968817178881054</v>
      </c>
      <c r="AJ236" s="87">
        <f>AJ238+AJ265</f>
        <v>279851481.13</v>
      </c>
      <c r="AK236" s="22">
        <f t="shared" si="63"/>
        <v>30.47380512145601</v>
      </c>
    </row>
    <row r="237" spans="1:37" s="31" customFormat="1" ht="12.75">
      <c r="A237" s="30"/>
      <c r="C237" s="31" t="s">
        <v>365</v>
      </c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4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87"/>
      <c r="AA237" s="87"/>
      <c r="AB237" s="32"/>
      <c r="AC237" s="87"/>
      <c r="AD237" s="32"/>
      <c r="AE237" s="87"/>
      <c r="AF237" s="87"/>
      <c r="AG237" s="32"/>
      <c r="AH237" s="87"/>
      <c r="AI237" s="34"/>
      <c r="AJ237" s="87"/>
      <c r="AK237" s="34"/>
    </row>
    <row r="238" spans="1:37" s="31" customFormat="1" ht="12.75">
      <c r="A238" s="30">
        <v>7400</v>
      </c>
      <c r="C238" s="31" t="s">
        <v>366</v>
      </c>
      <c r="D238" s="32">
        <f>SUM(D256:D262)</f>
        <v>255607000</v>
      </c>
      <c r="E238" s="32">
        <f>SUM(E256:E262)</f>
        <v>247637000</v>
      </c>
      <c r="F238" s="34">
        <f>E238/D238*100</f>
        <v>96.88193202846558</v>
      </c>
      <c r="G238" s="32">
        <f>SUM(G256:G262)</f>
        <v>358376000</v>
      </c>
      <c r="H238" s="32">
        <f>H239+H242+H254</f>
        <v>1690273872.75</v>
      </c>
      <c r="I238" s="32">
        <f>I239+I242+I254</f>
        <v>135.35818244278127</v>
      </c>
      <c r="J238" s="32">
        <f>J239+J242+J254</f>
        <v>508654000</v>
      </c>
      <c r="K238" s="32">
        <f>K239+K242+K254</f>
        <v>703013980</v>
      </c>
      <c r="L238" s="32">
        <f>L239+L242+L254</f>
        <v>798291280</v>
      </c>
      <c r="M238" s="33">
        <f aca="true" t="shared" si="74" ref="M238:M245">L238-K238</f>
        <v>95277300</v>
      </c>
      <c r="N238" s="32">
        <f>N239+N242+N254</f>
        <v>663399308.25</v>
      </c>
      <c r="O238" s="34">
        <f aca="true" t="shared" si="75" ref="O238:O245">N238/L238*100</f>
        <v>83.10241197298309</v>
      </c>
      <c r="P238" s="32">
        <f>P239+P242+P254</f>
        <v>675478000</v>
      </c>
      <c r="Q238" s="22">
        <f aca="true" t="shared" si="76" ref="Q238:Q250">P238/H238*100</f>
        <v>39.96263628574152</v>
      </c>
      <c r="R238" s="22">
        <f aca="true" t="shared" si="77" ref="R238:R245">P238/L238*100</f>
        <v>84.61548020416808</v>
      </c>
      <c r="S238" s="22">
        <f aca="true" t="shared" si="78" ref="S238:S245">P238/N238*100</f>
        <v>101.820727215086</v>
      </c>
      <c r="T238" s="32">
        <f>T239+T242+T254</f>
        <v>675478000</v>
      </c>
      <c r="U238" s="32">
        <f>U239+U242+U254</f>
        <v>727831500</v>
      </c>
      <c r="V238" s="33">
        <f>U238-P238</f>
        <v>52353500</v>
      </c>
      <c r="W238" s="33"/>
      <c r="X238" s="33"/>
      <c r="Y238" s="32">
        <f>Y239+Y242+Y254</f>
        <v>39340774.2</v>
      </c>
      <c r="Z238" s="87">
        <f t="shared" si="66"/>
        <v>5.824138491557091</v>
      </c>
      <c r="AA238" s="87">
        <f>AA239+AA242+AA254</f>
        <v>0</v>
      </c>
      <c r="AB238" s="32">
        <f>AB239+AB242+AB254</f>
        <v>76877049.1</v>
      </c>
      <c r="AC238" s="87">
        <f t="shared" si="64"/>
        <v>11.381132931050306</v>
      </c>
      <c r="AD238" s="32">
        <f>AD239+AD242+AD254</f>
        <v>167274573.2</v>
      </c>
      <c r="AE238" s="87">
        <f t="shared" si="65"/>
        <v>24.763881754846196</v>
      </c>
      <c r="AF238" s="87">
        <f>AF239+AF242+AF254</f>
        <v>339586513</v>
      </c>
      <c r="AG238" s="32">
        <f>AG239+AG242+AG254</f>
        <v>733291000</v>
      </c>
      <c r="AH238" s="87">
        <f>AH239+AH242+AH254</f>
        <v>204817702.3</v>
      </c>
      <c r="AI238" s="22">
        <f aca="true" t="shared" si="79" ref="AI238:AI248">+AH238/AG238*100</f>
        <v>27.931299074992054</v>
      </c>
      <c r="AJ238" s="87">
        <f>AJ239+AJ242+AJ254</f>
        <v>253387146.1</v>
      </c>
      <c r="AK238" s="22">
        <f t="shared" si="63"/>
        <v>34.55478740363648</v>
      </c>
    </row>
    <row r="239" spans="1:37" s="36" customFormat="1" ht="12.75" customHeight="1">
      <c r="A239" s="35" t="s">
        <v>367</v>
      </c>
      <c r="C239" s="36" t="s">
        <v>368</v>
      </c>
      <c r="D239" s="37"/>
      <c r="E239" s="37"/>
      <c r="F239" s="39"/>
      <c r="G239" s="37"/>
      <c r="H239" s="37">
        <f>SUM(H240:H241)</f>
        <v>1425966000</v>
      </c>
      <c r="I239" s="37">
        <f>SUM(I240:I241)</f>
        <v>0</v>
      </c>
      <c r="J239" s="37">
        <f>SUM(J240:J241)</f>
        <v>0</v>
      </c>
      <c r="K239" s="37">
        <f>SUM(K240:K241)</f>
        <v>572917000</v>
      </c>
      <c r="L239" s="37">
        <f>SUM(L240:L241)</f>
        <v>570362400</v>
      </c>
      <c r="M239" s="37">
        <f t="shared" si="74"/>
        <v>-2554600</v>
      </c>
      <c r="N239" s="37">
        <f>SUM(N240:N241)</f>
        <v>564001358</v>
      </c>
      <c r="O239" s="39">
        <f t="shared" si="75"/>
        <v>98.88473679190633</v>
      </c>
      <c r="P239" s="37">
        <f>SUM(P240:P241)</f>
        <v>441563000</v>
      </c>
      <c r="Q239" s="39">
        <f t="shared" si="76"/>
        <v>30.96588558212468</v>
      </c>
      <c r="R239" s="39">
        <f t="shared" si="77"/>
        <v>77.41797145113352</v>
      </c>
      <c r="S239" s="39">
        <f t="shared" si="78"/>
        <v>78.29112354725926</v>
      </c>
      <c r="T239" s="37">
        <f>SUM(T240:T241)</f>
        <v>441563000</v>
      </c>
      <c r="U239" s="37">
        <f>SUM(U240:U241)</f>
        <v>447924000</v>
      </c>
      <c r="V239" s="37">
        <f>U239-P239</f>
        <v>6361000</v>
      </c>
      <c r="W239" s="37"/>
      <c r="X239" s="37"/>
      <c r="Y239" s="37">
        <f>SUM(Y240:Y241)</f>
        <v>36797000</v>
      </c>
      <c r="Z239" s="88">
        <f t="shared" si="66"/>
        <v>8.333352205687524</v>
      </c>
      <c r="AA239" s="88">
        <f>SUM(AA240:AA241)</f>
        <v>0</v>
      </c>
      <c r="AB239" s="37">
        <f>SUM(AB240:AB241)</f>
        <v>73594000</v>
      </c>
      <c r="AC239" s="88">
        <f t="shared" si="64"/>
        <v>16.666704411375047</v>
      </c>
      <c r="AD239" s="37">
        <f>SUM(AD240:AD241)</f>
        <v>153535000</v>
      </c>
      <c r="AE239" s="88">
        <f t="shared" si="65"/>
        <v>34.770802807300434</v>
      </c>
      <c r="AF239" s="88">
        <f>SUM(AF240:AF241)</f>
        <v>329051000</v>
      </c>
      <c r="AG239" s="37">
        <f>SUM(AG240:AG241)</f>
        <v>447910000</v>
      </c>
      <c r="AH239" s="88">
        <f>SUM(AH240:AH241)</f>
        <v>190332000</v>
      </c>
      <c r="AI239" s="39">
        <f t="shared" si="79"/>
        <v>42.49335804067781</v>
      </c>
      <c r="AJ239" s="88">
        <f>SUM(AJ240:AJ241)</f>
        <v>227129000</v>
      </c>
      <c r="AK239" s="39">
        <f t="shared" si="63"/>
        <v>50.708624500457674</v>
      </c>
    </row>
    <row r="240" spans="1:37" s="43" customFormat="1" ht="12.75" customHeight="1">
      <c r="A240" s="41" t="s">
        <v>369</v>
      </c>
      <c r="B240" s="42"/>
      <c r="C240" s="43" t="s">
        <v>370</v>
      </c>
      <c r="D240" s="44"/>
      <c r="E240" s="44"/>
      <c r="F240" s="45"/>
      <c r="G240" s="44"/>
      <c r="H240" s="44">
        <v>98629000</v>
      </c>
      <c r="I240" s="45"/>
      <c r="J240" s="44"/>
      <c r="K240" s="44">
        <v>131354000</v>
      </c>
      <c r="L240" s="44">
        <v>128799400</v>
      </c>
      <c r="M240" s="44">
        <f t="shared" si="74"/>
        <v>-2554600</v>
      </c>
      <c r="N240" s="44">
        <v>128799358</v>
      </c>
      <c r="O240" s="45">
        <f t="shared" si="75"/>
        <v>99.99996739115244</v>
      </c>
      <c r="P240" s="44"/>
      <c r="Q240" s="45">
        <f t="shared" si="76"/>
        <v>0</v>
      </c>
      <c r="R240" s="45">
        <f t="shared" si="77"/>
        <v>0</v>
      </c>
      <c r="S240" s="45">
        <f t="shared" si="78"/>
        <v>0</v>
      </c>
      <c r="T240" s="44"/>
      <c r="U240" s="44">
        <v>6361000</v>
      </c>
      <c r="V240" s="44">
        <f>U240-P240</f>
        <v>6361000</v>
      </c>
      <c r="W240" s="44">
        <v>6361000</v>
      </c>
      <c r="X240" s="44"/>
      <c r="Y240" s="44"/>
      <c r="Z240" s="90"/>
      <c r="AA240" s="90"/>
      <c r="AB240" s="44"/>
      <c r="AC240" s="90" t="e">
        <f t="shared" si="64"/>
        <v>#DIV/0!</v>
      </c>
      <c r="AD240" s="44">
        <v>6347000</v>
      </c>
      <c r="AE240" s="90"/>
      <c r="AF240" s="90">
        <v>131356000</v>
      </c>
      <c r="AG240" s="44">
        <v>6347000</v>
      </c>
      <c r="AH240" s="90">
        <v>6347000</v>
      </c>
      <c r="AI240" s="45">
        <f t="shared" si="79"/>
        <v>100</v>
      </c>
      <c r="AJ240" s="90">
        <v>6347000</v>
      </c>
      <c r="AK240" s="45">
        <f t="shared" si="63"/>
        <v>100</v>
      </c>
    </row>
    <row r="241" spans="1:37" s="43" customFormat="1" ht="11.25">
      <c r="A241" s="41" t="s">
        <v>371</v>
      </c>
      <c r="B241" s="42"/>
      <c r="C241" s="43" t="s">
        <v>372</v>
      </c>
      <c r="D241" s="44"/>
      <c r="E241" s="44"/>
      <c r="F241" s="45"/>
      <c r="G241" s="44"/>
      <c r="H241" s="44">
        <v>1327337000</v>
      </c>
      <c r="I241" s="45"/>
      <c r="J241" s="44"/>
      <c r="K241" s="44">
        <v>441563000</v>
      </c>
      <c r="L241" s="44">
        <v>441563000</v>
      </c>
      <c r="M241" s="44">
        <f t="shared" si="74"/>
        <v>0</v>
      </c>
      <c r="N241" s="44">
        <v>435202000</v>
      </c>
      <c r="O241" s="45">
        <f t="shared" si="75"/>
        <v>98.55943545994569</v>
      </c>
      <c r="P241" s="44">
        <v>441563000</v>
      </c>
      <c r="Q241" s="45">
        <f t="shared" si="76"/>
        <v>33.266834270422656</v>
      </c>
      <c r="R241" s="45">
        <f t="shared" si="77"/>
        <v>100</v>
      </c>
      <c r="S241" s="45">
        <f t="shared" si="78"/>
        <v>101.46162012123105</v>
      </c>
      <c r="T241" s="44">
        <v>441563000</v>
      </c>
      <c r="U241" s="44">
        <v>441563000</v>
      </c>
      <c r="V241" s="44"/>
      <c r="W241" s="44"/>
      <c r="X241" s="44"/>
      <c r="Y241" s="44">
        <v>36797000</v>
      </c>
      <c r="Z241" s="90">
        <f t="shared" si="66"/>
        <v>8.333352205687524</v>
      </c>
      <c r="AA241" s="90"/>
      <c r="AB241" s="44">
        <v>73594000</v>
      </c>
      <c r="AC241" s="90">
        <f t="shared" si="64"/>
        <v>16.666704411375047</v>
      </c>
      <c r="AD241" s="44">
        <f>153535000-6347000</f>
        <v>147188000</v>
      </c>
      <c r="AE241" s="90">
        <f t="shared" si="65"/>
        <v>33.333408822750094</v>
      </c>
      <c r="AF241" s="90">
        <v>197695000</v>
      </c>
      <c r="AG241" s="44">
        <v>441563000</v>
      </c>
      <c r="AH241" s="90">
        <f>190332000-AH240</f>
        <v>183985000</v>
      </c>
      <c r="AI241" s="45">
        <f t="shared" si="79"/>
        <v>41.66676102843761</v>
      </c>
      <c r="AJ241" s="90">
        <f>227129000-AJ240</f>
        <v>220782000</v>
      </c>
      <c r="AK241" s="45">
        <f t="shared" si="63"/>
        <v>50.000113234125145</v>
      </c>
    </row>
    <row r="242" spans="1:37" s="36" customFormat="1" ht="12.75" customHeight="1">
      <c r="A242" s="35" t="s">
        <v>373</v>
      </c>
      <c r="C242" s="36" t="s">
        <v>374</v>
      </c>
      <c r="D242" s="37"/>
      <c r="E242" s="37"/>
      <c r="F242" s="39"/>
      <c r="G242" s="37"/>
      <c r="H242" s="37">
        <f>SUM(H243:H253)</f>
        <v>235061842.75</v>
      </c>
      <c r="I242" s="37">
        <f>SUM(I243:I253)</f>
        <v>0</v>
      </c>
      <c r="J242" s="37">
        <f>SUM(J243:J253)</f>
        <v>0</v>
      </c>
      <c r="K242" s="37">
        <f>SUM(K243:K253)</f>
        <v>110333000</v>
      </c>
      <c r="L242" s="37">
        <f>SUM(L243:L253)</f>
        <v>198182000</v>
      </c>
      <c r="M242" s="37">
        <f t="shared" si="74"/>
        <v>87849000</v>
      </c>
      <c r="N242" s="37">
        <f>SUM(N243:N253)</f>
        <v>77737443</v>
      </c>
      <c r="O242" s="39">
        <f t="shared" si="75"/>
        <v>39.2252792887346</v>
      </c>
      <c r="P242" s="37">
        <f>SUM(P243:P253)</f>
        <v>210215000</v>
      </c>
      <c r="Q242" s="39">
        <f t="shared" si="76"/>
        <v>89.42965712371027</v>
      </c>
      <c r="R242" s="39">
        <f t="shared" si="77"/>
        <v>106.07169167734709</v>
      </c>
      <c r="S242" s="39">
        <f t="shared" si="78"/>
        <v>270.416663949186</v>
      </c>
      <c r="T242" s="37">
        <f>SUM(T243:T253)</f>
        <v>210215000</v>
      </c>
      <c r="U242" s="37">
        <f>SUM(U243:U253)</f>
        <v>256257500</v>
      </c>
      <c r="V242" s="37">
        <f aca="true" t="shared" si="80" ref="V242:V249">U242-P242</f>
        <v>46042500</v>
      </c>
      <c r="W242" s="37"/>
      <c r="X242" s="37"/>
      <c r="Y242" s="37">
        <f>SUM(Y243:Y253)</f>
        <v>1933912</v>
      </c>
      <c r="Z242" s="88">
        <f t="shared" si="66"/>
        <v>0.919968603572533</v>
      </c>
      <c r="AA242" s="88">
        <f>SUM(AA243:AA253)</f>
        <v>0</v>
      </c>
      <c r="AB242" s="37">
        <f>SUM(AB243:AB253)</f>
        <v>1933912</v>
      </c>
      <c r="AC242" s="88">
        <f t="shared" si="64"/>
        <v>0.919968603572533</v>
      </c>
      <c r="AD242" s="37">
        <f>SUM(AD243:AD253)</f>
        <v>10963202</v>
      </c>
      <c r="AE242" s="88">
        <f t="shared" si="65"/>
        <v>5.21523297576291</v>
      </c>
      <c r="AF242" s="88">
        <f>SUM(AF243:AF253)</f>
        <v>6085098</v>
      </c>
      <c r="AG242" s="37">
        <f>SUM(AG243:AG253)</f>
        <v>259771000</v>
      </c>
      <c r="AH242" s="88">
        <f>SUM(AH243:AH253)</f>
        <v>10963202</v>
      </c>
      <c r="AI242" s="39">
        <f t="shared" si="79"/>
        <v>4.220333293554708</v>
      </c>
      <c r="AJ242" s="88">
        <f>SUM(AJ243:AJ253)</f>
        <v>16789509</v>
      </c>
      <c r="AK242" s="39">
        <f t="shared" si="63"/>
        <v>6.463196045747986</v>
      </c>
    </row>
    <row r="243" spans="1:37" s="43" customFormat="1" ht="12.75" customHeight="1">
      <c r="A243" s="41" t="s">
        <v>375</v>
      </c>
      <c r="B243" s="42"/>
      <c r="C243" s="43" t="s">
        <v>376</v>
      </c>
      <c r="D243" s="44"/>
      <c r="E243" s="44"/>
      <c r="F243" s="45"/>
      <c r="G243" s="44"/>
      <c r="H243" s="44">
        <v>30000000</v>
      </c>
      <c r="I243" s="45"/>
      <c r="J243" s="44"/>
      <c r="K243" s="44">
        <v>30000000</v>
      </c>
      <c r="L243" s="44">
        <v>30000000</v>
      </c>
      <c r="M243" s="44">
        <f t="shared" si="74"/>
        <v>0</v>
      </c>
      <c r="N243" s="44">
        <v>2500000</v>
      </c>
      <c r="O243" s="45">
        <f t="shared" si="75"/>
        <v>8.333333333333332</v>
      </c>
      <c r="P243" s="44">
        <v>20000000</v>
      </c>
      <c r="Q243" s="45">
        <f t="shared" si="76"/>
        <v>66.66666666666666</v>
      </c>
      <c r="R243" s="45">
        <f t="shared" si="77"/>
        <v>66.66666666666666</v>
      </c>
      <c r="S243" s="45">
        <f t="shared" si="78"/>
        <v>800</v>
      </c>
      <c r="T243" s="44">
        <v>20000000</v>
      </c>
      <c r="U243" s="44">
        <f>20000000-10000000</f>
        <v>10000000</v>
      </c>
      <c r="V243" s="44">
        <f t="shared" si="80"/>
        <v>-10000000</v>
      </c>
      <c r="W243" s="44"/>
      <c r="X243" s="44">
        <f>U243-P243</f>
        <v>-10000000</v>
      </c>
      <c r="Y243" s="44">
        <v>0</v>
      </c>
      <c r="Z243" s="90">
        <f t="shared" si="66"/>
        <v>0</v>
      </c>
      <c r="AA243" s="90"/>
      <c r="AB243" s="44">
        <v>0</v>
      </c>
      <c r="AC243" s="90">
        <f t="shared" si="64"/>
        <v>0</v>
      </c>
      <c r="AD243" s="44">
        <v>0</v>
      </c>
      <c r="AE243" s="90">
        <f t="shared" si="65"/>
        <v>0</v>
      </c>
      <c r="AF243" s="90"/>
      <c r="AG243" s="44">
        <v>10000000</v>
      </c>
      <c r="AH243" s="90">
        <v>0</v>
      </c>
      <c r="AI243" s="45">
        <f t="shared" si="79"/>
        <v>0</v>
      </c>
      <c r="AJ243" s="90">
        <v>0</v>
      </c>
      <c r="AK243" s="45">
        <f t="shared" si="63"/>
        <v>0</v>
      </c>
    </row>
    <row r="244" spans="1:37" s="43" customFormat="1" ht="11.25">
      <c r="A244" s="41" t="s">
        <v>377</v>
      </c>
      <c r="B244" s="42"/>
      <c r="C244" s="43" t="s">
        <v>378</v>
      </c>
      <c r="D244" s="44"/>
      <c r="E244" s="44"/>
      <c r="F244" s="45"/>
      <c r="G244" s="44"/>
      <c r="H244" s="44">
        <v>74647000</v>
      </c>
      <c r="I244" s="45"/>
      <c r="J244" s="44"/>
      <c r="K244" s="44">
        <v>21300000</v>
      </c>
      <c r="L244" s="44">
        <v>21300000</v>
      </c>
      <c r="M244" s="44">
        <f t="shared" si="74"/>
        <v>0</v>
      </c>
      <c r="N244" s="44">
        <v>21300000</v>
      </c>
      <c r="O244" s="45">
        <f t="shared" si="75"/>
        <v>100</v>
      </c>
      <c r="P244" s="44">
        <v>95000000</v>
      </c>
      <c r="Q244" s="45">
        <f t="shared" si="76"/>
        <v>127.26566372392729</v>
      </c>
      <c r="R244" s="45">
        <f t="shared" si="77"/>
        <v>446.0093896713615</v>
      </c>
      <c r="S244" s="45">
        <f t="shared" si="78"/>
        <v>446.0093896713615</v>
      </c>
      <c r="T244" s="44">
        <v>95000000</v>
      </c>
      <c r="U244" s="44">
        <f>59500000+2000000</f>
        <v>61500000</v>
      </c>
      <c r="V244" s="44">
        <f t="shared" si="80"/>
        <v>-33500000</v>
      </c>
      <c r="W244" s="44"/>
      <c r="X244" s="44">
        <f>U244-P244</f>
        <v>-33500000</v>
      </c>
      <c r="Y244" s="44">
        <v>0</v>
      </c>
      <c r="Z244" s="90">
        <f t="shared" si="66"/>
        <v>0</v>
      </c>
      <c r="AA244" s="90"/>
      <c r="AB244" s="44">
        <v>0</v>
      </c>
      <c r="AC244" s="90">
        <f t="shared" si="64"/>
        <v>0</v>
      </c>
      <c r="AD244" s="44">
        <v>0</v>
      </c>
      <c r="AE244" s="90">
        <f t="shared" si="65"/>
        <v>0</v>
      </c>
      <c r="AF244" s="90"/>
      <c r="AG244" s="44">
        <v>57000000</v>
      </c>
      <c r="AH244" s="90">
        <v>0</v>
      </c>
      <c r="AI244" s="45">
        <f t="shared" si="79"/>
        <v>0</v>
      </c>
      <c r="AJ244" s="90">
        <v>0</v>
      </c>
      <c r="AK244" s="45">
        <f t="shared" si="63"/>
        <v>0</v>
      </c>
    </row>
    <row r="245" spans="1:37" s="43" customFormat="1" ht="11.25">
      <c r="A245" s="41" t="s">
        <v>379</v>
      </c>
      <c r="B245" s="42"/>
      <c r="C245" s="43" t="s">
        <v>380</v>
      </c>
      <c r="D245" s="44"/>
      <c r="E245" s="44"/>
      <c r="F245" s="45"/>
      <c r="G245" s="44"/>
      <c r="H245" s="44">
        <v>11600000</v>
      </c>
      <c r="I245" s="45"/>
      <c r="J245" s="44"/>
      <c r="K245" s="44">
        <v>16000000</v>
      </c>
      <c r="L245" s="44">
        <v>16000000</v>
      </c>
      <c r="M245" s="44">
        <f t="shared" si="74"/>
        <v>0</v>
      </c>
      <c r="N245" s="44">
        <v>13337000</v>
      </c>
      <c r="O245" s="45">
        <f t="shared" si="75"/>
        <v>83.35625</v>
      </c>
      <c r="P245" s="44">
        <f>22000000-22000000</f>
        <v>0</v>
      </c>
      <c r="Q245" s="45">
        <f t="shared" si="76"/>
        <v>0</v>
      </c>
      <c r="R245" s="45">
        <f t="shared" si="77"/>
        <v>0</v>
      </c>
      <c r="S245" s="45">
        <f t="shared" si="78"/>
        <v>0</v>
      </c>
      <c r="T245" s="44">
        <f>22000000-22000000</f>
        <v>0</v>
      </c>
      <c r="U245" s="44">
        <v>4000000</v>
      </c>
      <c r="V245" s="44">
        <f t="shared" si="80"/>
        <v>4000000</v>
      </c>
      <c r="W245" s="44">
        <v>4000000</v>
      </c>
      <c r="X245" s="44"/>
      <c r="Y245" s="44"/>
      <c r="Z245" s="90"/>
      <c r="AA245" s="90"/>
      <c r="AB245" s="44"/>
      <c r="AC245" s="90" t="e">
        <f t="shared" si="64"/>
        <v>#DIV/0!</v>
      </c>
      <c r="AD245" s="44"/>
      <c r="AE245" s="90" t="e">
        <f t="shared" si="65"/>
        <v>#DIV/0!</v>
      </c>
      <c r="AF245" s="90"/>
      <c r="AG245" s="44">
        <v>4000000</v>
      </c>
      <c r="AH245" s="90">
        <v>0</v>
      </c>
      <c r="AI245" s="45">
        <f t="shared" si="79"/>
        <v>0</v>
      </c>
      <c r="AJ245" s="90">
        <v>0</v>
      </c>
      <c r="AK245" s="45">
        <f t="shared" si="63"/>
        <v>0</v>
      </c>
    </row>
    <row r="246" spans="1:37" s="43" customFormat="1" ht="11.25">
      <c r="A246" s="41" t="s">
        <v>381</v>
      </c>
      <c r="B246" s="42"/>
      <c r="C246" s="43" t="s">
        <v>382</v>
      </c>
      <c r="D246" s="44"/>
      <c r="E246" s="44"/>
      <c r="F246" s="45"/>
      <c r="G246" s="44"/>
      <c r="H246" s="44">
        <v>3500000</v>
      </c>
      <c r="I246" s="45"/>
      <c r="J246" s="44"/>
      <c r="K246" s="44"/>
      <c r="L246" s="44"/>
      <c r="M246" s="44"/>
      <c r="N246" s="44"/>
      <c r="O246" s="45"/>
      <c r="P246" s="44">
        <f>42000000-42000000+33215000</f>
        <v>33215000</v>
      </c>
      <c r="Q246" s="39">
        <f t="shared" si="76"/>
        <v>949</v>
      </c>
      <c r="R246" s="39"/>
      <c r="S246" s="39"/>
      <c r="T246" s="44">
        <f>42000000-42000000+33215000</f>
        <v>33215000</v>
      </c>
      <c r="U246" s="44">
        <f>42000000-42000000+33215000-10457500</f>
        <v>22757500</v>
      </c>
      <c r="V246" s="44">
        <f t="shared" si="80"/>
        <v>-10457500</v>
      </c>
      <c r="W246" s="44"/>
      <c r="X246" s="44">
        <f>U246-P246</f>
        <v>-10457500</v>
      </c>
      <c r="Y246" s="44">
        <v>0</v>
      </c>
      <c r="Z246" s="90">
        <f t="shared" si="66"/>
        <v>0</v>
      </c>
      <c r="AA246" s="90"/>
      <c r="AB246" s="44">
        <v>0</v>
      </c>
      <c r="AC246" s="90">
        <f t="shared" si="64"/>
        <v>0</v>
      </c>
      <c r="AD246" s="44">
        <v>0</v>
      </c>
      <c r="AE246" s="90">
        <f t="shared" si="65"/>
        <v>0</v>
      </c>
      <c r="AF246" s="90"/>
      <c r="AG246" s="44">
        <v>22757500</v>
      </c>
      <c r="AH246" s="90">
        <v>0</v>
      </c>
      <c r="AI246" s="39">
        <f t="shared" si="79"/>
        <v>0</v>
      </c>
      <c r="AJ246" s="90">
        <v>0</v>
      </c>
      <c r="AK246" s="39">
        <f t="shared" si="63"/>
        <v>0</v>
      </c>
    </row>
    <row r="247" spans="1:37" s="43" customFormat="1" ht="11.25" hidden="1">
      <c r="A247" s="41" t="s">
        <v>383</v>
      </c>
      <c r="B247" s="42"/>
      <c r="C247" s="43" t="s">
        <v>384</v>
      </c>
      <c r="D247" s="44"/>
      <c r="E247" s="44"/>
      <c r="F247" s="45"/>
      <c r="G247" s="44"/>
      <c r="H247" s="44"/>
      <c r="I247" s="45"/>
      <c r="J247" s="44"/>
      <c r="K247" s="44"/>
      <c r="L247" s="44"/>
      <c r="M247" s="44"/>
      <c r="N247" s="44"/>
      <c r="O247" s="45"/>
      <c r="P247" s="44"/>
      <c r="Q247" s="39" t="e">
        <f t="shared" si="76"/>
        <v>#DIV/0!</v>
      </c>
      <c r="R247" s="39"/>
      <c r="S247" s="39"/>
      <c r="T247" s="44"/>
      <c r="U247" s="44"/>
      <c r="V247" s="44">
        <f t="shared" si="80"/>
        <v>0</v>
      </c>
      <c r="W247" s="44"/>
      <c r="X247" s="44"/>
      <c r="Y247" s="44"/>
      <c r="Z247" s="90"/>
      <c r="AA247" s="90"/>
      <c r="AB247" s="44"/>
      <c r="AC247" s="90" t="e">
        <f t="shared" si="64"/>
        <v>#DIV/0!</v>
      </c>
      <c r="AD247" s="44"/>
      <c r="AE247" s="90" t="e">
        <f t="shared" si="65"/>
        <v>#DIV/0!</v>
      </c>
      <c r="AF247" s="90"/>
      <c r="AG247" s="44"/>
      <c r="AH247" s="90"/>
      <c r="AI247" s="39" t="e">
        <f t="shared" si="79"/>
        <v>#DIV/0!</v>
      </c>
      <c r="AJ247" s="90"/>
      <c r="AK247" s="39" t="e">
        <f t="shared" si="63"/>
        <v>#DIV/0!</v>
      </c>
    </row>
    <row r="248" spans="1:37" s="43" customFormat="1" ht="11.25">
      <c r="A248" s="41" t="s">
        <v>385</v>
      </c>
      <c r="B248" s="42"/>
      <c r="C248" s="43" t="s">
        <v>386</v>
      </c>
      <c r="D248" s="44"/>
      <c r="E248" s="44"/>
      <c r="F248" s="45"/>
      <c r="G248" s="44"/>
      <c r="H248" s="44">
        <v>49588773.75</v>
      </c>
      <c r="I248" s="45"/>
      <c r="J248" s="44"/>
      <c r="K248" s="44">
        <v>16000000</v>
      </c>
      <c r="L248" s="44">
        <v>16000000</v>
      </c>
      <c r="M248" s="44">
        <f>L248-K248</f>
        <v>0</v>
      </c>
      <c r="N248" s="44"/>
      <c r="O248" s="45"/>
      <c r="P248" s="44"/>
      <c r="Q248" s="45">
        <f t="shared" si="76"/>
        <v>0</v>
      </c>
      <c r="R248" s="45">
        <f>P248/L248*100</f>
        <v>0</v>
      </c>
      <c r="S248" s="45"/>
      <c r="T248" s="44"/>
      <c r="U248" s="44">
        <v>16000000</v>
      </c>
      <c r="V248" s="44">
        <f t="shared" si="80"/>
        <v>16000000</v>
      </c>
      <c r="W248" s="44">
        <v>16000000</v>
      </c>
      <c r="X248" s="44"/>
      <c r="Y248" s="44"/>
      <c r="Z248" s="90"/>
      <c r="AA248" s="90"/>
      <c r="AB248" s="44"/>
      <c r="AC248" s="90" t="e">
        <f t="shared" si="64"/>
        <v>#DIV/0!</v>
      </c>
      <c r="AD248" s="44"/>
      <c r="AE248" s="90" t="e">
        <f t="shared" si="65"/>
        <v>#DIV/0!</v>
      </c>
      <c r="AF248" s="90"/>
      <c r="AG248" s="44">
        <v>16000000</v>
      </c>
      <c r="AH248" s="90">
        <v>0</v>
      </c>
      <c r="AI248" s="45">
        <f t="shared" si="79"/>
        <v>0</v>
      </c>
      <c r="AJ248" s="90">
        <v>0</v>
      </c>
      <c r="AK248" s="45">
        <f t="shared" si="63"/>
        <v>0</v>
      </c>
    </row>
    <row r="249" spans="1:37" s="43" customFormat="1" ht="11.25">
      <c r="A249" s="41" t="s">
        <v>387</v>
      </c>
      <c r="B249" s="42"/>
      <c r="C249" s="43" t="s">
        <v>388</v>
      </c>
      <c r="D249" s="44"/>
      <c r="E249" s="44"/>
      <c r="F249" s="45"/>
      <c r="G249" s="44"/>
      <c r="H249" s="44"/>
      <c r="I249" s="45"/>
      <c r="J249" s="44"/>
      <c r="K249" s="44">
        <v>13353000</v>
      </c>
      <c r="L249" s="44"/>
      <c r="M249" s="44">
        <f>L249-K249</f>
        <v>-13353000</v>
      </c>
      <c r="N249" s="44"/>
      <c r="O249" s="45"/>
      <c r="P249" s="44"/>
      <c r="Q249" s="45" t="e">
        <f t="shared" si="76"/>
        <v>#DIV/0!</v>
      </c>
      <c r="R249" s="45"/>
      <c r="S249" s="45"/>
      <c r="T249" s="44"/>
      <c r="U249" s="44"/>
      <c r="V249" s="44">
        <f t="shared" si="80"/>
        <v>0</v>
      </c>
      <c r="W249" s="44"/>
      <c r="X249" s="44"/>
      <c r="Y249" s="44"/>
      <c r="Z249" s="90"/>
      <c r="AA249" s="90"/>
      <c r="AB249" s="44"/>
      <c r="AC249" s="90" t="e">
        <f t="shared" si="64"/>
        <v>#DIV/0!</v>
      </c>
      <c r="AD249" s="44"/>
      <c r="AE249" s="90" t="e">
        <f t="shared" si="65"/>
        <v>#DIV/0!</v>
      </c>
      <c r="AF249" s="90"/>
      <c r="AH249" s="90"/>
      <c r="AI249" s="45"/>
      <c r="AJ249" s="90">
        <v>5826307</v>
      </c>
      <c r="AK249" s="45"/>
    </row>
    <row r="250" spans="1:37" s="43" customFormat="1" ht="11.25">
      <c r="A250" s="41" t="s">
        <v>389</v>
      </c>
      <c r="B250" s="42"/>
      <c r="C250" s="43" t="s">
        <v>390</v>
      </c>
      <c r="D250" s="44"/>
      <c r="E250" s="44"/>
      <c r="F250" s="45"/>
      <c r="G250" s="44"/>
      <c r="H250" s="44">
        <v>1544405</v>
      </c>
      <c r="I250" s="45"/>
      <c r="J250" s="44"/>
      <c r="K250" s="44">
        <v>10000000</v>
      </c>
      <c r="L250" s="44">
        <f>10000000+101202000</f>
        <v>111202000</v>
      </c>
      <c r="M250" s="44">
        <f>L250-K250</f>
        <v>101202000</v>
      </c>
      <c r="N250" s="44">
        <f>35921250+1000000</f>
        <v>36921250</v>
      </c>
      <c r="O250" s="45">
        <f>N250/L250*100</f>
        <v>33.20196579198216</v>
      </c>
      <c r="P250" s="44">
        <f>12000000</f>
        <v>12000000</v>
      </c>
      <c r="Q250" s="45">
        <f t="shared" si="76"/>
        <v>776.99826146639</v>
      </c>
      <c r="R250" s="45">
        <f>P250/L250*100</f>
        <v>10.791172820632722</v>
      </c>
      <c r="S250" s="45">
        <f>P250/N250*100</f>
        <v>32.50160815248671</v>
      </c>
      <c r="T250" s="44">
        <f>12000000</f>
        <v>12000000</v>
      </c>
      <c r="U250" s="44">
        <f>12000000+130000000</f>
        <v>142000000</v>
      </c>
      <c r="V250" s="44"/>
      <c r="W250" s="44">
        <v>130000000</v>
      </c>
      <c r="X250" s="44"/>
      <c r="Y250" s="44">
        <v>1933912</v>
      </c>
      <c r="Z250" s="90">
        <f t="shared" si="66"/>
        <v>16.11593333333333</v>
      </c>
      <c r="AA250" s="90"/>
      <c r="AB250" s="44">
        <v>1933912</v>
      </c>
      <c r="AC250" s="90">
        <f t="shared" si="64"/>
        <v>16.11593333333333</v>
      </c>
      <c r="AD250" s="44">
        <f>9947412-8013500</f>
        <v>1933912</v>
      </c>
      <c r="AE250" s="90">
        <f t="shared" si="65"/>
        <v>16.11593333333333</v>
      </c>
      <c r="AF250" s="90">
        <v>2405905</v>
      </c>
      <c r="AG250" s="44">
        <v>142000000</v>
      </c>
      <c r="AH250" s="90">
        <v>9947412</v>
      </c>
      <c r="AI250" s="45">
        <f>+AH250/AG250*100</f>
        <v>7.005219718309859</v>
      </c>
      <c r="AJ250" s="90">
        <v>9947412</v>
      </c>
      <c r="AK250" s="45">
        <f t="shared" si="63"/>
        <v>7.005219718309859</v>
      </c>
    </row>
    <row r="251" spans="1:37" s="43" customFormat="1" ht="11.25">
      <c r="A251" s="41" t="s">
        <v>391</v>
      </c>
      <c r="B251" s="42"/>
      <c r="C251" s="43" t="s">
        <v>599</v>
      </c>
      <c r="D251" s="44"/>
      <c r="E251" s="44"/>
      <c r="F251" s="45"/>
      <c r="G251" s="44"/>
      <c r="H251" s="44"/>
      <c r="I251" s="45"/>
      <c r="J251" s="44"/>
      <c r="K251" s="44">
        <v>3680000</v>
      </c>
      <c r="L251" s="44">
        <v>3680000</v>
      </c>
      <c r="M251" s="44">
        <f>L251-K251</f>
        <v>0</v>
      </c>
      <c r="N251" s="44">
        <v>3679193</v>
      </c>
      <c r="O251" s="45">
        <f>N251/L251*100</f>
        <v>99.97807065217391</v>
      </c>
      <c r="P251" s="44"/>
      <c r="Q251" s="45"/>
      <c r="R251" s="45">
        <f>P251/L251*100</f>
        <v>0</v>
      </c>
      <c r="S251" s="45">
        <f>P251/N251*100</f>
        <v>0</v>
      </c>
      <c r="T251" s="44"/>
      <c r="U251" s="44"/>
      <c r="V251" s="44">
        <f aca="true" t="shared" si="81" ref="V251:V262">U251-P251</f>
        <v>0</v>
      </c>
      <c r="W251" s="44"/>
      <c r="X251" s="44"/>
      <c r="Y251" s="44"/>
      <c r="Z251" s="90"/>
      <c r="AA251" s="90"/>
      <c r="AB251" s="44"/>
      <c r="AC251" s="90" t="e">
        <f t="shared" si="64"/>
        <v>#DIV/0!</v>
      </c>
      <c r="AD251" s="44">
        <v>1015790</v>
      </c>
      <c r="AE251" s="90"/>
      <c r="AF251" s="90">
        <v>3679193</v>
      </c>
      <c r="AH251" s="90">
        <v>1015790</v>
      </c>
      <c r="AI251" s="45"/>
      <c r="AJ251" s="90">
        <v>1015790</v>
      </c>
      <c r="AK251" s="45"/>
    </row>
    <row r="252" spans="1:37" s="43" customFormat="1" ht="11.25" hidden="1">
      <c r="A252" s="41" t="s">
        <v>392</v>
      </c>
      <c r="B252" s="42"/>
      <c r="C252" s="43" t="s">
        <v>393</v>
      </c>
      <c r="D252" s="44"/>
      <c r="E252" s="44"/>
      <c r="F252" s="45"/>
      <c r="G252" s="44"/>
      <c r="H252" s="44"/>
      <c r="I252" s="45"/>
      <c r="J252" s="44"/>
      <c r="K252" s="44"/>
      <c r="L252" s="44"/>
      <c r="M252" s="44"/>
      <c r="N252" s="44"/>
      <c r="O252" s="45"/>
      <c r="P252" s="44">
        <v>50000000</v>
      </c>
      <c r="Q252" s="45"/>
      <c r="R252" s="45"/>
      <c r="S252" s="45"/>
      <c r="T252" s="44">
        <v>50000000</v>
      </c>
      <c r="U252" s="44"/>
      <c r="V252" s="44">
        <f t="shared" si="81"/>
        <v>-50000000</v>
      </c>
      <c r="W252" s="44"/>
      <c r="X252" s="44">
        <f>U252-P252</f>
        <v>-50000000</v>
      </c>
      <c r="Y252" s="44">
        <v>0</v>
      </c>
      <c r="Z252" s="90">
        <f t="shared" si="66"/>
        <v>0</v>
      </c>
      <c r="AA252" s="90"/>
      <c r="AB252" s="44">
        <v>0</v>
      </c>
      <c r="AC252" s="90">
        <f t="shared" si="64"/>
        <v>0</v>
      </c>
      <c r="AD252" s="44">
        <v>0</v>
      </c>
      <c r="AE252" s="90">
        <f t="shared" si="65"/>
        <v>0</v>
      </c>
      <c r="AF252" s="90"/>
      <c r="AH252" s="90">
        <v>0</v>
      </c>
      <c r="AI252" s="45"/>
      <c r="AJ252" s="90"/>
      <c r="AK252" s="45" t="e">
        <f t="shared" si="63"/>
        <v>#DIV/0!</v>
      </c>
    </row>
    <row r="253" spans="1:37" s="43" customFormat="1" ht="11.25">
      <c r="A253" s="41" t="s">
        <v>394</v>
      </c>
      <c r="B253" s="42"/>
      <c r="C253" s="43" t="s">
        <v>395</v>
      </c>
      <c r="D253" s="44"/>
      <c r="E253" s="44"/>
      <c r="F253" s="45"/>
      <c r="G253" s="44"/>
      <c r="H253" s="44">
        <f>14661123+2551800+1020000+1400000+44548741</f>
        <v>64181664</v>
      </c>
      <c r="I253" s="45"/>
      <c r="J253" s="44"/>
      <c r="K253" s="44"/>
      <c r="L253" s="44"/>
      <c r="M253" s="37"/>
      <c r="N253" s="44"/>
      <c r="O253" s="45"/>
      <c r="P253" s="44"/>
      <c r="Q253" s="39">
        <f aca="true" t="shared" si="82" ref="Q253:Q259">P253/H253*100</f>
        <v>0</v>
      </c>
      <c r="R253" s="39"/>
      <c r="S253" s="39"/>
      <c r="T253" s="44"/>
      <c r="U253" s="44"/>
      <c r="V253" s="44">
        <f t="shared" si="81"/>
        <v>0</v>
      </c>
      <c r="W253" s="44"/>
      <c r="X253" s="44"/>
      <c r="Y253" s="44"/>
      <c r="Z253" s="90"/>
      <c r="AA253" s="90"/>
      <c r="AB253" s="44"/>
      <c r="AC253" s="90" t="e">
        <f t="shared" si="64"/>
        <v>#DIV/0!</v>
      </c>
      <c r="AD253" s="44">
        <v>8013500</v>
      </c>
      <c r="AE253" s="90"/>
      <c r="AF253" s="90"/>
      <c r="AG253" s="44">
        <v>8013500</v>
      </c>
      <c r="AH253" s="90">
        <v>0</v>
      </c>
      <c r="AI253" s="39">
        <f>+AH253/AG253*100</f>
        <v>0</v>
      </c>
      <c r="AJ253" s="90">
        <v>0</v>
      </c>
      <c r="AK253" s="39">
        <f t="shared" si="63"/>
        <v>0</v>
      </c>
    </row>
    <row r="254" spans="1:37" s="36" customFormat="1" ht="12.75" customHeight="1">
      <c r="A254" s="35" t="s">
        <v>396</v>
      </c>
      <c r="C254" s="36" t="s">
        <v>397</v>
      </c>
      <c r="D254" s="37"/>
      <c r="E254" s="37"/>
      <c r="F254" s="39"/>
      <c r="G254" s="37"/>
      <c r="H254" s="37">
        <f>SUM(H255:H262)</f>
        <v>29246030</v>
      </c>
      <c r="I254" s="37">
        <f>SUM(I255:I262)</f>
        <v>135.35818244278127</v>
      </c>
      <c r="J254" s="37">
        <f>SUM(J255:J262)</f>
        <v>508654000</v>
      </c>
      <c r="K254" s="37">
        <f>SUM(K255:K262)</f>
        <v>19763980</v>
      </c>
      <c r="L254" s="37">
        <f>SUM(L255:L262)</f>
        <v>29746880</v>
      </c>
      <c r="M254" s="37">
        <f>L254-K254</f>
        <v>9982900</v>
      </c>
      <c r="N254" s="37">
        <f>SUM(N255:N262)</f>
        <v>21660507.25</v>
      </c>
      <c r="O254" s="39">
        <f>N254/L254*100</f>
        <v>72.81606423934207</v>
      </c>
      <c r="P254" s="37">
        <f>SUM(P255:P263)</f>
        <v>23700000</v>
      </c>
      <c r="Q254" s="37">
        <f aca="true" t="shared" si="83" ref="Q254:AG254">SUM(Q255:Q263)</f>
        <v>762.2686824622699</v>
      </c>
      <c r="R254" s="37">
        <f t="shared" si="83"/>
        <v>328.19591602106004</v>
      </c>
      <c r="S254" s="37">
        <f t="shared" si="83"/>
        <v>227.70064600015263</v>
      </c>
      <c r="T254" s="37">
        <f t="shared" si="83"/>
        <v>23700000</v>
      </c>
      <c r="U254" s="37">
        <f t="shared" si="83"/>
        <v>23650000</v>
      </c>
      <c r="V254" s="37">
        <f t="shared" si="83"/>
        <v>-50000</v>
      </c>
      <c r="W254" s="37">
        <f t="shared" si="83"/>
        <v>0</v>
      </c>
      <c r="X254" s="37">
        <f t="shared" si="83"/>
        <v>-50000</v>
      </c>
      <c r="Y254" s="37">
        <f t="shared" si="83"/>
        <v>609862.2</v>
      </c>
      <c r="Z254" s="37">
        <f t="shared" si="83"/>
        <v>3.884472611464968</v>
      </c>
      <c r="AA254" s="37">
        <f t="shared" si="83"/>
        <v>0</v>
      </c>
      <c r="AB254" s="37">
        <f t="shared" si="83"/>
        <v>1349137.1</v>
      </c>
      <c r="AC254" s="37" t="e">
        <f t="shared" si="83"/>
        <v>#DIV/0!</v>
      </c>
      <c r="AD254" s="37">
        <f t="shared" si="83"/>
        <v>2776371.2</v>
      </c>
      <c r="AE254" s="37" t="e">
        <f t="shared" si="83"/>
        <v>#DIV/0!</v>
      </c>
      <c r="AF254" s="88">
        <f>SUM(AF255:AF263)</f>
        <v>4450415</v>
      </c>
      <c r="AG254" s="37">
        <f t="shared" si="83"/>
        <v>25610000</v>
      </c>
      <c r="AH254" s="88">
        <f>SUM(AH255:AH262)</f>
        <v>3522500.3</v>
      </c>
      <c r="AI254" s="39">
        <f>+AH254/AG254*100</f>
        <v>13.754393986723933</v>
      </c>
      <c r="AJ254" s="88">
        <f>SUM(AJ255:AJ263)</f>
        <v>9468637.1</v>
      </c>
      <c r="AK254" s="39">
        <f t="shared" si="63"/>
        <v>36.97242131979696</v>
      </c>
    </row>
    <row r="255" spans="1:37" s="43" customFormat="1" ht="12.75" customHeight="1" hidden="1">
      <c r="A255" s="41" t="s">
        <v>398</v>
      </c>
      <c r="B255" s="42"/>
      <c r="C255" s="43" t="s">
        <v>399</v>
      </c>
      <c r="D255" s="44"/>
      <c r="E255" s="44"/>
      <c r="F255" s="45"/>
      <c r="G255" s="44"/>
      <c r="H255" s="44">
        <f>1603100+15425952</f>
        <v>17029052</v>
      </c>
      <c r="I255" s="45"/>
      <c r="J255" s="44"/>
      <c r="K255" s="44"/>
      <c r="L255" s="44"/>
      <c r="M255" s="44"/>
      <c r="N255" s="44"/>
      <c r="O255" s="45"/>
      <c r="P255" s="44"/>
      <c r="Q255" s="39">
        <f t="shared" si="82"/>
        <v>0</v>
      </c>
      <c r="R255" s="39"/>
      <c r="S255" s="39"/>
      <c r="T255" s="44"/>
      <c r="U255" s="44"/>
      <c r="V255" s="44">
        <f t="shared" si="81"/>
        <v>0</v>
      </c>
      <c r="W255" s="44"/>
      <c r="X255" s="44"/>
      <c r="Y255" s="44"/>
      <c r="Z255" s="90"/>
      <c r="AA255" s="90"/>
      <c r="AB255" s="44"/>
      <c r="AC255" s="90" t="e">
        <f t="shared" si="64"/>
        <v>#DIV/0!</v>
      </c>
      <c r="AD255" s="44"/>
      <c r="AE255" s="90" t="e">
        <f t="shared" si="65"/>
        <v>#DIV/0!</v>
      </c>
      <c r="AF255" s="90"/>
      <c r="AH255" s="90">
        <v>0</v>
      </c>
      <c r="AI255" s="39"/>
      <c r="AJ255" s="90"/>
      <c r="AK255" s="39" t="e">
        <f t="shared" si="63"/>
        <v>#DIV/0!</v>
      </c>
    </row>
    <row r="256" spans="1:37" s="43" customFormat="1" ht="11.25">
      <c r="A256" s="41" t="s">
        <v>400</v>
      </c>
      <c r="B256" s="42"/>
      <c r="C256" s="43" t="s">
        <v>401</v>
      </c>
      <c r="D256" s="44">
        <v>18507000</v>
      </c>
      <c r="E256" s="44">
        <v>18507000</v>
      </c>
      <c r="F256" s="45">
        <f>E256/D256*100</f>
        <v>100</v>
      </c>
      <c r="G256" s="44">
        <v>98629000</v>
      </c>
      <c r="H256" s="44">
        <f>416239+2365371</f>
        <v>2781610</v>
      </c>
      <c r="I256" s="45">
        <f>H256/G256*100</f>
        <v>2.8202759837370346</v>
      </c>
      <c r="J256" s="44">
        <v>131354000</v>
      </c>
      <c r="K256" s="44">
        <f>8281880+1382100+2100000</f>
        <v>11763980</v>
      </c>
      <c r="L256" s="44">
        <f>7124880+1132000+3990000</f>
        <v>12246880</v>
      </c>
      <c r="M256" s="44">
        <f>L256-K256</f>
        <v>482900</v>
      </c>
      <c r="N256" s="44">
        <v>12294377.9</v>
      </c>
      <c r="O256" s="45">
        <f>N256/L256*100</f>
        <v>100.38783673882654</v>
      </c>
      <c r="P256" s="44">
        <f>8000000+7700000</f>
        <v>15700000</v>
      </c>
      <c r="Q256" s="45">
        <f t="shared" si="82"/>
        <v>564.4213243409392</v>
      </c>
      <c r="R256" s="45">
        <f>P256/L256*100</f>
        <v>128.19591602106007</v>
      </c>
      <c r="S256" s="45">
        <f>P256/N256*100</f>
        <v>127.70064600015263</v>
      </c>
      <c r="T256" s="44">
        <f>8000000+7700000</f>
        <v>15700000</v>
      </c>
      <c r="U256" s="44">
        <f>8000000+7700000</f>
        <v>15700000</v>
      </c>
      <c r="V256" s="44">
        <f t="shared" si="81"/>
        <v>0</v>
      </c>
      <c r="W256" s="44"/>
      <c r="X256" s="44"/>
      <c r="Y256" s="44">
        <v>609862.2</v>
      </c>
      <c r="Z256" s="90">
        <f t="shared" si="66"/>
        <v>3.884472611464968</v>
      </c>
      <c r="AA256" s="90"/>
      <c r="AB256" s="44">
        <v>1349137.1</v>
      </c>
      <c r="AC256" s="90">
        <f t="shared" si="64"/>
        <v>8.593229936305733</v>
      </c>
      <c r="AD256" s="44">
        <v>2776371.2</v>
      </c>
      <c r="AE256" s="90">
        <f t="shared" si="65"/>
        <v>17.68389299363057</v>
      </c>
      <c r="AF256" s="90">
        <v>4450415</v>
      </c>
      <c r="AG256" s="44">
        <v>15700000</v>
      </c>
      <c r="AH256" s="90">
        <v>3522500.3</v>
      </c>
      <c r="AI256" s="45">
        <f>+AH256/AG256*100</f>
        <v>22.4363076433121</v>
      </c>
      <c r="AJ256" s="90">
        <v>4518637.1</v>
      </c>
      <c r="AK256" s="45">
        <f t="shared" si="63"/>
        <v>28.781128025477702</v>
      </c>
    </row>
    <row r="257" spans="1:37" s="43" customFormat="1" ht="11.25" hidden="1">
      <c r="A257" s="41" t="s">
        <v>402</v>
      </c>
      <c r="B257" s="42"/>
      <c r="C257" s="43" t="s">
        <v>403</v>
      </c>
      <c r="D257" s="44">
        <v>70000000</v>
      </c>
      <c r="E257" s="44">
        <v>70000000</v>
      </c>
      <c r="F257" s="45">
        <f>E257/D257*100</f>
        <v>100</v>
      </c>
      <c r="G257" s="44">
        <v>74647000</v>
      </c>
      <c r="H257" s="44">
        <v>1369368</v>
      </c>
      <c r="I257" s="45">
        <f>H257/G257*100</f>
        <v>1.8344581831821773</v>
      </c>
      <c r="J257" s="44">
        <v>21300000</v>
      </c>
      <c r="K257" s="44"/>
      <c r="L257" s="44"/>
      <c r="M257" s="44"/>
      <c r="N257" s="44"/>
      <c r="O257" s="45"/>
      <c r="P257" s="44"/>
      <c r="Q257" s="45">
        <f t="shared" si="82"/>
        <v>0</v>
      </c>
      <c r="R257" s="45"/>
      <c r="S257" s="45"/>
      <c r="T257" s="44"/>
      <c r="U257" s="44"/>
      <c r="V257" s="44">
        <f t="shared" si="81"/>
        <v>0</v>
      </c>
      <c r="W257" s="44"/>
      <c r="X257" s="44"/>
      <c r="Y257" s="44"/>
      <c r="Z257" s="90"/>
      <c r="AA257" s="90"/>
      <c r="AB257" s="44"/>
      <c r="AC257" s="90" t="e">
        <f t="shared" si="64"/>
        <v>#DIV/0!</v>
      </c>
      <c r="AD257" s="44"/>
      <c r="AE257" s="90" t="e">
        <f t="shared" si="65"/>
        <v>#DIV/0!</v>
      </c>
      <c r="AF257" s="90"/>
      <c r="AG257" s="44"/>
      <c r="AH257" s="90"/>
      <c r="AI257" s="45" t="e">
        <f>+AH257/AG257*100</f>
        <v>#DIV/0!</v>
      </c>
      <c r="AJ257" s="90"/>
      <c r="AK257" s="45" t="e">
        <f t="shared" si="63"/>
        <v>#DIV/0!</v>
      </c>
    </row>
    <row r="258" spans="1:37" s="43" customFormat="1" ht="11.25">
      <c r="A258" s="41" t="s">
        <v>404</v>
      </c>
      <c r="B258" s="42"/>
      <c r="C258" s="43" t="s">
        <v>405</v>
      </c>
      <c r="D258" s="44">
        <v>9000000</v>
      </c>
      <c r="E258" s="44">
        <v>9000000</v>
      </c>
      <c r="F258" s="45">
        <f>E258/D258*100</f>
        <v>100</v>
      </c>
      <c r="G258" s="44">
        <v>11600000</v>
      </c>
      <c r="H258" s="44">
        <v>5000000</v>
      </c>
      <c r="I258" s="45">
        <f>H258/G258*100</f>
        <v>43.103448275862064</v>
      </c>
      <c r="J258" s="44">
        <v>16000000</v>
      </c>
      <c r="K258" s="44">
        <v>5000000</v>
      </c>
      <c r="L258" s="44">
        <v>5000000</v>
      </c>
      <c r="M258" s="44">
        <f>L258-K258</f>
        <v>0</v>
      </c>
      <c r="N258" s="44">
        <v>5000000</v>
      </c>
      <c r="O258" s="45">
        <f>N258/L258*100</f>
        <v>100</v>
      </c>
      <c r="P258" s="44">
        <v>5000000</v>
      </c>
      <c r="Q258" s="45">
        <f t="shared" si="82"/>
        <v>100</v>
      </c>
      <c r="R258" s="45">
        <f>P258/L258*100</f>
        <v>100</v>
      </c>
      <c r="S258" s="45">
        <f>P258/N258*100</f>
        <v>100</v>
      </c>
      <c r="T258" s="44">
        <v>5000000</v>
      </c>
      <c r="U258" s="44">
        <f>5000000-50000</f>
        <v>4950000</v>
      </c>
      <c r="V258" s="44">
        <f t="shared" si="81"/>
        <v>-50000</v>
      </c>
      <c r="W258" s="44"/>
      <c r="X258" s="44">
        <f>U258-P258</f>
        <v>-50000</v>
      </c>
      <c r="Y258" s="44">
        <v>0</v>
      </c>
      <c r="Z258" s="90">
        <f t="shared" si="66"/>
        <v>0</v>
      </c>
      <c r="AA258" s="90"/>
      <c r="AB258" s="44">
        <v>0</v>
      </c>
      <c r="AC258" s="90">
        <f t="shared" si="64"/>
        <v>0</v>
      </c>
      <c r="AD258" s="44">
        <v>0</v>
      </c>
      <c r="AE258" s="90">
        <f t="shared" si="65"/>
        <v>0</v>
      </c>
      <c r="AF258" s="90"/>
      <c r="AG258" s="44">
        <v>4950000</v>
      </c>
      <c r="AH258" s="90">
        <v>0</v>
      </c>
      <c r="AI258" s="45">
        <f>+AH258/AG258*100</f>
        <v>0</v>
      </c>
      <c r="AJ258" s="90">
        <v>4950000</v>
      </c>
      <c r="AK258" s="45">
        <f t="shared" si="63"/>
        <v>100</v>
      </c>
    </row>
    <row r="259" spans="1:37" s="43" customFormat="1" ht="11.25">
      <c r="A259" s="41" t="s">
        <v>406</v>
      </c>
      <c r="B259" s="42"/>
      <c r="C259" s="43" t="s">
        <v>407</v>
      </c>
      <c r="D259" s="44">
        <v>7000000</v>
      </c>
      <c r="E259" s="44">
        <v>7000000</v>
      </c>
      <c r="F259" s="45">
        <f>E259/D259*100</f>
        <v>100</v>
      </c>
      <c r="G259" s="44">
        <v>3500000</v>
      </c>
      <c r="H259" s="44">
        <v>3066000</v>
      </c>
      <c r="I259" s="45">
        <f>H259/G259*100</f>
        <v>87.6</v>
      </c>
      <c r="J259" s="44"/>
      <c r="K259" s="44">
        <v>3000000</v>
      </c>
      <c r="L259" s="44">
        <v>3000000</v>
      </c>
      <c r="M259" s="44">
        <f>L259-K259</f>
        <v>0</v>
      </c>
      <c r="N259" s="44"/>
      <c r="O259" s="45"/>
      <c r="P259" s="44">
        <v>3000000</v>
      </c>
      <c r="Q259" s="45">
        <f t="shared" si="82"/>
        <v>97.84735812133071</v>
      </c>
      <c r="R259" s="45">
        <f>P259/L259*100</f>
        <v>100</v>
      </c>
      <c r="S259" s="45"/>
      <c r="T259" s="44">
        <v>3000000</v>
      </c>
      <c r="U259" s="44">
        <v>3000000</v>
      </c>
      <c r="V259" s="44">
        <f t="shared" si="81"/>
        <v>0</v>
      </c>
      <c r="W259" s="44"/>
      <c r="X259" s="44"/>
      <c r="Y259" s="44">
        <v>0</v>
      </c>
      <c r="Z259" s="90">
        <f t="shared" si="66"/>
        <v>0</v>
      </c>
      <c r="AA259" s="90"/>
      <c r="AB259" s="44">
        <v>0</v>
      </c>
      <c r="AC259" s="90">
        <f t="shared" si="64"/>
        <v>0</v>
      </c>
      <c r="AD259" s="44">
        <v>0</v>
      </c>
      <c r="AE259" s="90">
        <f t="shared" si="65"/>
        <v>0</v>
      </c>
      <c r="AF259" s="90"/>
      <c r="AG259" s="44">
        <v>3000000</v>
      </c>
      <c r="AH259" s="90">
        <v>0</v>
      </c>
      <c r="AI259" s="45">
        <f>+AH259/AG259*100</f>
        <v>0</v>
      </c>
      <c r="AJ259" s="90">
        <v>0</v>
      </c>
      <c r="AK259" s="45">
        <f t="shared" si="63"/>
        <v>0</v>
      </c>
    </row>
    <row r="260" spans="1:37" s="43" customFormat="1" ht="11.25" hidden="1">
      <c r="A260" s="41" t="s">
        <v>408</v>
      </c>
      <c r="B260" s="42"/>
      <c r="C260" s="43" t="s">
        <v>409</v>
      </c>
      <c r="D260" s="44">
        <v>21100000</v>
      </c>
      <c r="E260" s="44">
        <v>21130000</v>
      </c>
      <c r="F260" s="45">
        <f>E260/D260*100</f>
        <v>100.14218009478672</v>
      </c>
      <c r="G260" s="44"/>
      <c r="H260" s="44"/>
      <c r="I260" s="45"/>
      <c r="J260" s="44"/>
      <c r="K260" s="44"/>
      <c r="L260" s="44">
        <v>7500000</v>
      </c>
      <c r="M260" s="44">
        <f>L260-K260</f>
        <v>7500000</v>
      </c>
      <c r="N260" s="44">
        <v>704225.35</v>
      </c>
      <c r="O260" s="45">
        <f>N260/L260*100</f>
        <v>9.389671333333332</v>
      </c>
      <c r="P260" s="44"/>
      <c r="Q260" s="45"/>
      <c r="R260" s="45">
        <f>P260/L260*100</f>
        <v>0</v>
      </c>
      <c r="S260" s="45">
        <f>P260/N260*100</f>
        <v>0</v>
      </c>
      <c r="T260" s="44"/>
      <c r="U260" s="44"/>
      <c r="V260" s="44">
        <f t="shared" si="81"/>
        <v>0</v>
      </c>
      <c r="W260" s="44"/>
      <c r="X260" s="44"/>
      <c r="Y260" s="44"/>
      <c r="Z260" s="90"/>
      <c r="AA260" s="90"/>
      <c r="AB260" s="44"/>
      <c r="AC260" s="90" t="e">
        <f t="shared" si="64"/>
        <v>#DIV/0!</v>
      </c>
      <c r="AD260" s="44"/>
      <c r="AE260" s="90" t="e">
        <f t="shared" si="65"/>
        <v>#DIV/0!</v>
      </c>
      <c r="AF260" s="90"/>
      <c r="AG260" s="44"/>
      <c r="AH260" s="90">
        <v>0</v>
      </c>
      <c r="AI260" s="45"/>
      <c r="AJ260" s="90"/>
      <c r="AK260" s="45" t="e">
        <f t="shared" si="63"/>
        <v>#DIV/0!</v>
      </c>
    </row>
    <row r="261" spans="1:37" s="43" customFormat="1" ht="11.25" hidden="1">
      <c r="A261" s="41" t="s">
        <v>410</v>
      </c>
      <c r="B261" s="42"/>
      <c r="C261" s="43" t="s">
        <v>411</v>
      </c>
      <c r="D261" s="44"/>
      <c r="E261" s="44"/>
      <c r="F261" s="45"/>
      <c r="G261" s="44"/>
      <c r="H261" s="44"/>
      <c r="I261" s="45"/>
      <c r="J261" s="44"/>
      <c r="K261" s="44"/>
      <c r="L261" s="44"/>
      <c r="M261" s="44"/>
      <c r="N261" s="44">
        <f>1070020+591884</f>
        <v>1661904</v>
      </c>
      <c r="O261" s="45"/>
      <c r="P261" s="44"/>
      <c r="Q261" s="45"/>
      <c r="R261" s="45"/>
      <c r="S261" s="45">
        <f>P261/N261*100</f>
        <v>0</v>
      </c>
      <c r="T261" s="44"/>
      <c r="U261" s="44"/>
      <c r="V261" s="44">
        <f t="shared" si="81"/>
        <v>0</v>
      </c>
      <c r="W261" s="44"/>
      <c r="X261" s="44"/>
      <c r="Y261" s="44"/>
      <c r="Z261" s="90"/>
      <c r="AA261" s="90"/>
      <c r="AB261" s="44"/>
      <c r="AC261" s="90" t="e">
        <f t="shared" si="64"/>
        <v>#DIV/0!</v>
      </c>
      <c r="AD261" s="44"/>
      <c r="AE261" s="90" t="e">
        <f t="shared" si="65"/>
        <v>#DIV/0!</v>
      </c>
      <c r="AF261" s="90"/>
      <c r="AH261" s="90">
        <v>0</v>
      </c>
      <c r="AI261" s="45"/>
      <c r="AJ261" s="90"/>
      <c r="AK261" s="45" t="e">
        <f t="shared" si="63"/>
        <v>#DIV/0!</v>
      </c>
    </row>
    <row r="262" spans="1:37" s="43" customFormat="1" ht="11.25" hidden="1">
      <c r="A262" s="41" t="s">
        <v>412</v>
      </c>
      <c r="B262" s="42"/>
      <c r="C262" s="43" t="s">
        <v>413</v>
      </c>
      <c r="D262" s="44">
        <v>130000000</v>
      </c>
      <c r="E262" s="44">
        <v>122000000</v>
      </c>
      <c r="F262" s="45">
        <f>E262/D262*100</f>
        <v>93.84615384615384</v>
      </c>
      <c r="G262" s="44">
        <v>170000000</v>
      </c>
      <c r="H262" s="44"/>
      <c r="I262" s="45">
        <f>H262/G262*100</f>
        <v>0</v>
      </c>
      <c r="J262" s="44">
        <v>340000000</v>
      </c>
      <c r="K262" s="44"/>
      <c r="L262" s="44">
        <v>2000000</v>
      </c>
      <c r="M262" s="37"/>
      <c r="N262" s="44">
        <v>2000000</v>
      </c>
      <c r="O262" s="45">
        <f>N262/L262*100</f>
        <v>100</v>
      </c>
      <c r="P262" s="44"/>
      <c r="Q262" s="44"/>
      <c r="R262" s="44"/>
      <c r="S262" s="44">
        <f>P262/N262*100</f>
        <v>0</v>
      </c>
      <c r="T262" s="44"/>
      <c r="U262" s="44"/>
      <c r="V262" s="44">
        <f t="shared" si="81"/>
        <v>0</v>
      </c>
      <c r="W262" s="44"/>
      <c r="X262" s="44"/>
      <c r="Y262" s="44"/>
      <c r="Z262" s="90"/>
      <c r="AA262" s="90"/>
      <c r="AB262" s="44"/>
      <c r="AC262" s="90" t="e">
        <f t="shared" si="64"/>
        <v>#DIV/0!</v>
      </c>
      <c r="AD262" s="44"/>
      <c r="AE262" s="90" t="e">
        <f t="shared" si="65"/>
        <v>#DIV/0!</v>
      </c>
      <c r="AF262" s="90"/>
      <c r="AG262" s="44"/>
      <c r="AH262" s="90">
        <v>0</v>
      </c>
      <c r="AI262" s="45"/>
      <c r="AJ262" s="90"/>
      <c r="AK262" s="45" t="e">
        <f t="shared" si="63"/>
        <v>#DIV/0!</v>
      </c>
    </row>
    <row r="263" spans="1:37" s="43" customFormat="1" ht="11.25">
      <c r="A263" s="41">
        <v>74000408</v>
      </c>
      <c r="B263" s="42"/>
      <c r="C263" s="43" t="s">
        <v>603</v>
      </c>
      <c r="D263" s="44"/>
      <c r="E263" s="44"/>
      <c r="F263" s="45"/>
      <c r="G263" s="44"/>
      <c r="H263" s="44"/>
      <c r="I263" s="45"/>
      <c r="J263" s="44"/>
      <c r="K263" s="44"/>
      <c r="L263" s="44"/>
      <c r="M263" s="37"/>
      <c r="N263" s="44"/>
      <c r="O263" s="45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90"/>
      <c r="AA263" s="90"/>
      <c r="AB263" s="44"/>
      <c r="AC263" s="90"/>
      <c r="AD263" s="44"/>
      <c r="AE263" s="90"/>
      <c r="AF263" s="90"/>
      <c r="AG263" s="44">
        <v>1960000</v>
      </c>
      <c r="AH263" s="90">
        <v>0</v>
      </c>
      <c r="AI263" s="45">
        <f>+AH263/AG263*100</f>
        <v>0</v>
      </c>
      <c r="AJ263" s="90">
        <v>0</v>
      </c>
      <c r="AK263" s="45">
        <f t="shared" si="63"/>
        <v>0</v>
      </c>
    </row>
    <row r="264" spans="1:37" s="36" customFormat="1" ht="12" customHeight="1">
      <c r="A264" s="8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9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88"/>
      <c r="AA264" s="88"/>
      <c r="AB264" s="37"/>
      <c r="AC264" s="88"/>
      <c r="AD264" s="37"/>
      <c r="AE264" s="88"/>
      <c r="AF264" s="88"/>
      <c r="AH264" s="88"/>
      <c r="AI264" s="39"/>
      <c r="AJ264" s="88"/>
      <c r="AK264" s="39"/>
    </row>
    <row r="265" spans="1:37" s="31" customFormat="1" ht="12.75">
      <c r="A265" s="30">
        <v>7401</v>
      </c>
      <c r="C265" s="31" t="s">
        <v>414</v>
      </c>
      <c r="D265" s="32">
        <f>D266+D269</f>
        <v>0</v>
      </c>
      <c r="E265" s="32">
        <f>E266+E269</f>
        <v>0</v>
      </c>
      <c r="F265" s="34" t="e">
        <f>E265/D265*100</f>
        <v>#DIV/0!</v>
      </c>
      <c r="G265" s="32">
        <f aca="true" t="shared" si="84" ref="G265:L265">G266+G269</f>
        <v>0</v>
      </c>
      <c r="H265" s="32">
        <f t="shared" si="84"/>
        <v>28816172</v>
      </c>
      <c r="I265" s="32">
        <f t="shared" si="84"/>
        <v>0</v>
      </c>
      <c r="J265" s="32">
        <f t="shared" si="84"/>
        <v>0</v>
      </c>
      <c r="K265" s="32">
        <f t="shared" si="84"/>
        <v>81500000</v>
      </c>
      <c r="L265" s="32">
        <f t="shared" si="84"/>
        <v>77000000</v>
      </c>
      <c r="M265" s="33">
        <f>L265-K265</f>
        <v>-4500000</v>
      </c>
      <c r="N265" s="32">
        <f>N266+N269</f>
        <v>20364875.99</v>
      </c>
      <c r="O265" s="34">
        <f>N265/L265*100</f>
        <v>26.447890896103893</v>
      </c>
      <c r="P265" s="32">
        <f>P266+P269</f>
        <v>92690000</v>
      </c>
      <c r="Q265" s="22">
        <f>P265/H265*100</f>
        <v>321.65965694541245</v>
      </c>
      <c r="R265" s="22">
        <f>P265/L265*100</f>
        <v>120.37662337662339</v>
      </c>
      <c r="S265" s="22">
        <f>P265/N265*100</f>
        <v>455.1464003292465</v>
      </c>
      <c r="T265" s="32">
        <f>T266+T269</f>
        <v>92690000</v>
      </c>
      <c r="U265" s="32">
        <f>U266+U269</f>
        <v>172162200</v>
      </c>
      <c r="V265" s="33">
        <f aca="true" t="shared" si="85" ref="V265:V275">U265-P265</f>
        <v>79472200</v>
      </c>
      <c r="W265" s="33"/>
      <c r="X265" s="33"/>
      <c r="Y265" s="32">
        <f>Y266+Y269</f>
        <v>111660.33</v>
      </c>
      <c r="Z265" s="87">
        <f t="shared" si="66"/>
        <v>0.1204664257201424</v>
      </c>
      <c r="AA265" s="87">
        <f>AA266+AA269</f>
        <v>0</v>
      </c>
      <c r="AB265" s="32">
        <f>AB266+AB269</f>
        <v>340036.77999999997</v>
      </c>
      <c r="AC265" s="87">
        <f t="shared" si="64"/>
        <v>0.3668537922105944</v>
      </c>
      <c r="AD265" s="32">
        <f>AD266+AD269</f>
        <v>413344.13</v>
      </c>
      <c r="AE265" s="87">
        <f t="shared" si="65"/>
        <v>0.44594252885963964</v>
      </c>
      <c r="AF265" s="87">
        <f>AF266+AF269</f>
        <v>3827846</v>
      </c>
      <c r="AG265" s="32">
        <f>AG266+AG269</f>
        <v>185043550</v>
      </c>
      <c r="AH265" s="87">
        <f>AH266+AH269</f>
        <v>15296227.080000002</v>
      </c>
      <c r="AI265" s="22">
        <f>+AH265/AG265*100</f>
        <v>8.266284925899878</v>
      </c>
      <c r="AJ265" s="87">
        <f>AJ266+AJ269</f>
        <v>26464335.03</v>
      </c>
      <c r="AK265" s="22">
        <f aca="true" t="shared" si="86" ref="AK265:AK327">+AJ265/AG265*100</f>
        <v>14.301679269555734</v>
      </c>
    </row>
    <row r="266" spans="1:37" s="36" customFormat="1" ht="12.75" customHeight="1">
      <c r="A266" s="35" t="s">
        <v>415</v>
      </c>
      <c r="C266" s="36" t="s">
        <v>416</v>
      </c>
      <c r="D266" s="37"/>
      <c r="E266" s="37"/>
      <c r="F266" s="39"/>
      <c r="G266" s="37"/>
      <c r="H266" s="37">
        <f>SUM(H267:H268)</f>
        <v>1261986</v>
      </c>
      <c r="I266" s="37">
        <f>SUM(I267:I268)</f>
        <v>0</v>
      </c>
      <c r="J266" s="37">
        <f>SUM(J267:J268)</f>
        <v>0</v>
      </c>
      <c r="K266" s="37">
        <f>SUM(K267:K268)</f>
        <v>6500000</v>
      </c>
      <c r="L266" s="37">
        <f>SUM(L267:L268)</f>
        <v>2000000</v>
      </c>
      <c r="M266" s="37">
        <f>L266-K266</f>
        <v>-4500000</v>
      </c>
      <c r="N266" s="37">
        <f>SUM(N267:N268)</f>
        <v>2031000</v>
      </c>
      <c r="O266" s="39">
        <f>N266/L266*100</f>
        <v>101.55000000000001</v>
      </c>
      <c r="P266" s="37">
        <f>SUM(P267:P268)</f>
        <v>350000</v>
      </c>
      <c r="Q266" s="39">
        <f>P266/H266*100</f>
        <v>27.7340636108483</v>
      </c>
      <c r="R266" s="39">
        <f>P266/L266*100</f>
        <v>17.5</v>
      </c>
      <c r="S266" s="39">
        <f>P266/N266*100</f>
        <v>17.232890201870998</v>
      </c>
      <c r="T266" s="37">
        <f>SUM(T267:T268)</f>
        <v>350000</v>
      </c>
      <c r="U266" s="37">
        <f>SUM(U267:U268)</f>
        <v>86822200</v>
      </c>
      <c r="V266" s="37">
        <f t="shared" si="85"/>
        <v>86472200</v>
      </c>
      <c r="W266" s="37"/>
      <c r="X266" s="37"/>
      <c r="Y266" s="37">
        <f>SUM(Y267:Y268)</f>
        <v>0</v>
      </c>
      <c r="Z266" s="88">
        <f t="shared" si="66"/>
        <v>0</v>
      </c>
      <c r="AA266" s="88">
        <f>SUM(AA267:AA268)</f>
        <v>0</v>
      </c>
      <c r="AB266" s="37">
        <f>SUM(AB267:AB268)</f>
        <v>0</v>
      </c>
      <c r="AC266" s="88">
        <f t="shared" si="64"/>
        <v>0</v>
      </c>
      <c r="AD266" s="37">
        <f>SUM(AD267:AD268)</f>
        <v>0</v>
      </c>
      <c r="AE266" s="88">
        <f t="shared" si="65"/>
        <v>0</v>
      </c>
      <c r="AF266" s="88">
        <f>SUM(AF267:AF268)</f>
        <v>411000</v>
      </c>
      <c r="AG266" s="37">
        <f>SUM(AG267:AG268)</f>
        <v>86822200</v>
      </c>
      <c r="AH266" s="88">
        <f>SUM(AH267:AH268)</f>
        <v>3407879.7</v>
      </c>
      <c r="AI266" s="39">
        <f>+AH266/AG266*100</f>
        <v>3.925124795271256</v>
      </c>
      <c r="AJ266" s="88">
        <f>SUM(AJ267:AJ268)</f>
        <v>4089449.78</v>
      </c>
      <c r="AK266" s="39">
        <f t="shared" si="86"/>
        <v>4.710143004899668</v>
      </c>
    </row>
    <row r="267" spans="1:37" s="43" customFormat="1" ht="12.75" customHeight="1">
      <c r="A267" s="41" t="s">
        <v>605</v>
      </c>
      <c r="B267" s="42"/>
      <c r="C267" s="43" t="s">
        <v>417</v>
      </c>
      <c r="D267" s="44"/>
      <c r="E267" s="44"/>
      <c r="F267" s="45"/>
      <c r="G267" s="44"/>
      <c r="H267" s="44">
        <v>1261986</v>
      </c>
      <c r="I267" s="45"/>
      <c r="J267" s="44"/>
      <c r="K267" s="44">
        <v>3000000</v>
      </c>
      <c r="L267" s="44">
        <v>2000000</v>
      </c>
      <c r="M267" s="44">
        <f>L267-K267</f>
        <v>-1000000</v>
      </c>
      <c r="N267" s="44">
        <v>2031000</v>
      </c>
      <c r="O267" s="45">
        <f>N267/L267*100</f>
        <v>101.55000000000001</v>
      </c>
      <c r="P267" s="44">
        <f>3000000-2650000</f>
        <v>350000</v>
      </c>
      <c r="Q267" s="45">
        <f>P267/H267*100</f>
        <v>27.7340636108483</v>
      </c>
      <c r="R267" s="45">
        <f>P267/L267*100</f>
        <v>17.5</v>
      </c>
      <c r="S267" s="45">
        <f>P267/N267*100</f>
        <v>17.232890201870998</v>
      </c>
      <c r="T267" s="44">
        <f>3000000-2650000</f>
        <v>350000</v>
      </c>
      <c r="U267" s="44">
        <f>3000000-2650000</f>
        <v>350000</v>
      </c>
      <c r="V267" s="44">
        <f t="shared" si="85"/>
        <v>0</v>
      </c>
      <c r="W267" s="44"/>
      <c r="X267" s="44"/>
      <c r="Y267" s="44">
        <v>0</v>
      </c>
      <c r="Z267" s="90">
        <f t="shared" si="66"/>
        <v>0</v>
      </c>
      <c r="AA267" s="90"/>
      <c r="AB267" s="37">
        <v>0</v>
      </c>
      <c r="AC267" s="90">
        <f t="shared" si="64"/>
        <v>0</v>
      </c>
      <c r="AD267" s="37">
        <v>0</v>
      </c>
      <c r="AE267" s="90">
        <f t="shared" si="65"/>
        <v>0</v>
      </c>
      <c r="AF267" s="90">
        <v>411000</v>
      </c>
      <c r="AG267" s="44">
        <v>350000</v>
      </c>
      <c r="AH267" s="90">
        <v>0</v>
      </c>
      <c r="AI267" s="45">
        <f>+AH267/AG267*100</f>
        <v>0</v>
      </c>
      <c r="AJ267" s="90">
        <v>0</v>
      </c>
      <c r="AK267" s="45">
        <f t="shared" si="86"/>
        <v>0</v>
      </c>
    </row>
    <row r="268" spans="1:37" s="43" customFormat="1" ht="11.25">
      <c r="A268" s="41" t="s">
        <v>606</v>
      </c>
      <c r="B268" s="42"/>
      <c r="C268" s="43" t="s">
        <v>418</v>
      </c>
      <c r="D268" s="44"/>
      <c r="E268" s="44"/>
      <c r="F268" s="45"/>
      <c r="G268" s="44"/>
      <c r="H268" s="44"/>
      <c r="I268" s="45"/>
      <c r="J268" s="44"/>
      <c r="K268" s="44">
        <v>3500000</v>
      </c>
      <c r="L268" s="44"/>
      <c r="M268" s="44">
        <f>L268-K268</f>
        <v>-3500000</v>
      </c>
      <c r="N268" s="44"/>
      <c r="O268" s="45"/>
      <c r="P268" s="44"/>
      <c r="Q268" s="45"/>
      <c r="R268" s="45"/>
      <c r="S268" s="45"/>
      <c r="T268" s="44"/>
      <c r="U268" s="44">
        <v>86472200</v>
      </c>
      <c r="V268" s="44">
        <f t="shared" si="85"/>
        <v>86472200</v>
      </c>
      <c r="W268" s="44">
        <v>86472200</v>
      </c>
      <c r="X268" s="44"/>
      <c r="Y268" s="44"/>
      <c r="Z268" s="90"/>
      <c r="AA268" s="90"/>
      <c r="AB268" s="44"/>
      <c r="AC268" s="90" t="e">
        <f aca="true" t="shared" si="87" ref="AC268:AC332">+AB268/P268*100</f>
        <v>#DIV/0!</v>
      </c>
      <c r="AD268" s="44"/>
      <c r="AE268" s="90" t="e">
        <f aca="true" t="shared" si="88" ref="AE268:AE332">AD268/P268*100</f>
        <v>#DIV/0!</v>
      </c>
      <c r="AF268" s="90"/>
      <c r="AG268" s="44">
        <v>86472200</v>
      </c>
      <c r="AH268" s="90">
        <v>3407879.7</v>
      </c>
      <c r="AI268" s="45">
        <f>+AH268/AG268*100</f>
        <v>3.9410119090297226</v>
      </c>
      <c r="AJ268" s="90">
        <v>4089449.78</v>
      </c>
      <c r="AK268" s="45">
        <f t="shared" si="86"/>
        <v>4.729207514091234</v>
      </c>
    </row>
    <row r="269" spans="1:37" s="36" customFormat="1" ht="12.75" customHeight="1">
      <c r="A269" s="35" t="s">
        <v>419</v>
      </c>
      <c r="C269" s="36" t="s">
        <v>420</v>
      </c>
      <c r="D269" s="37"/>
      <c r="E269" s="37"/>
      <c r="F269" s="39"/>
      <c r="G269" s="37"/>
      <c r="H269" s="37">
        <f aca="true" t="shared" si="89" ref="H269:N269">SUM(H270:H275)</f>
        <v>27554186</v>
      </c>
      <c r="I269" s="37">
        <f t="shared" si="89"/>
        <v>0</v>
      </c>
      <c r="J269" s="37">
        <f t="shared" si="89"/>
        <v>0</v>
      </c>
      <c r="K269" s="37">
        <f t="shared" si="89"/>
        <v>75000000</v>
      </c>
      <c r="L269" s="37">
        <f t="shared" si="89"/>
        <v>75000000</v>
      </c>
      <c r="M269" s="37">
        <f t="shared" si="89"/>
        <v>0</v>
      </c>
      <c r="N269" s="37">
        <f t="shared" si="89"/>
        <v>18333875.99</v>
      </c>
      <c r="O269" s="39">
        <f>N269/L269*100</f>
        <v>24.445167986666664</v>
      </c>
      <c r="P269" s="37">
        <f>SUM(P270:P275)</f>
        <v>92340000</v>
      </c>
      <c r="Q269" s="39">
        <f>P269/H269*100</f>
        <v>335.1214947884869</v>
      </c>
      <c r="R269" s="39">
        <f>P269/L269*100</f>
        <v>123.12</v>
      </c>
      <c r="S269" s="39">
        <f>P269/N269*100</f>
        <v>503.65781927599915</v>
      </c>
      <c r="T269" s="37">
        <f>SUM(T270:T275)</f>
        <v>92340000</v>
      </c>
      <c r="U269" s="37">
        <f>SUM(U270:U275)</f>
        <v>85340000</v>
      </c>
      <c r="V269" s="37">
        <f t="shared" si="85"/>
        <v>-7000000</v>
      </c>
      <c r="W269" s="37"/>
      <c r="X269" s="37"/>
      <c r="Y269" s="37">
        <f>SUM(Y270:Y275)</f>
        <v>111660.33</v>
      </c>
      <c r="Z269" s="88">
        <f t="shared" si="66"/>
        <v>0.12092303443794672</v>
      </c>
      <c r="AA269" s="88">
        <f>SUM(AA270:AA275)</f>
        <v>0</v>
      </c>
      <c r="AB269" s="37">
        <f>SUM(AB270:AB275)</f>
        <v>340036.77999999997</v>
      </c>
      <c r="AC269" s="88">
        <f t="shared" si="87"/>
        <v>0.36824429283084253</v>
      </c>
      <c r="AD269" s="37">
        <f>SUM(AD270:AD275)</f>
        <v>413344.13</v>
      </c>
      <c r="AE269" s="88">
        <f t="shared" si="88"/>
        <v>0.44763280268572664</v>
      </c>
      <c r="AF269" s="88">
        <f>SUM(AF270:AF275)</f>
        <v>3416846</v>
      </c>
      <c r="AG269" s="37">
        <f>SUM(AG270:AG275)</f>
        <v>98221350</v>
      </c>
      <c r="AH269" s="88">
        <f>SUM(AH270:AH275)</f>
        <v>11888347.38</v>
      </c>
      <c r="AI269" s="39">
        <f>+AH269/AG269*100</f>
        <v>12.103628569552344</v>
      </c>
      <c r="AJ269" s="88">
        <f>SUM(AJ270:AJ275)</f>
        <v>22374885.25</v>
      </c>
      <c r="AK269" s="39">
        <f t="shared" si="86"/>
        <v>22.780062837662076</v>
      </c>
    </row>
    <row r="270" spans="1:37" s="43" customFormat="1" ht="12.75" customHeight="1" hidden="1">
      <c r="A270" s="41" t="s">
        <v>421</v>
      </c>
      <c r="B270" s="42"/>
      <c r="C270" s="43" t="s">
        <v>422</v>
      </c>
      <c r="D270" s="44"/>
      <c r="E270" s="44"/>
      <c r="F270" s="45"/>
      <c r="G270" s="44"/>
      <c r="H270" s="44"/>
      <c r="I270" s="45"/>
      <c r="J270" s="44"/>
      <c r="K270" s="44">
        <v>10000000</v>
      </c>
      <c r="L270" s="44">
        <v>10000000</v>
      </c>
      <c r="M270" s="44">
        <f>L270-K270</f>
        <v>0</v>
      </c>
      <c r="N270" s="44">
        <v>5804515.56</v>
      </c>
      <c r="O270" s="45">
        <f>N270/L270*100</f>
        <v>58.0451556</v>
      </c>
      <c r="P270" s="44">
        <v>7000000</v>
      </c>
      <c r="Q270" s="45"/>
      <c r="R270" s="45">
        <f>P270/L270*100</f>
        <v>70</v>
      </c>
      <c r="S270" s="45">
        <f>P270/N270*100</f>
        <v>120.59576596259483</v>
      </c>
      <c r="T270" s="44">
        <v>7000000</v>
      </c>
      <c r="U270" s="44"/>
      <c r="V270" s="44">
        <f t="shared" si="85"/>
        <v>-7000000</v>
      </c>
      <c r="W270" s="44"/>
      <c r="X270" s="44"/>
      <c r="Y270" s="44">
        <v>0</v>
      </c>
      <c r="Z270" s="90">
        <f aca="true" t="shared" si="90" ref="Z270:Z275">+Y270/P270*100</f>
        <v>0</v>
      </c>
      <c r="AA270" s="90"/>
      <c r="AB270" s="44">
        <v>0</v>
      </c>
      <c r="AC270" s="90">
        <f t="shared" si="87"/>
        <v>0</v>
      </c>
      <c r="AD270" s="44">
        <v>0</v>
      </c>
      <c r="AE270" s="90">
        <f t="shared" si="88"/>
        <v>0</v>
      </c>
      <c r="AF270" s="90"/>
      <c r="AG270" s="44"/>
      <c r="AH270" s="90">
        <v>0</v>
      </c>
      <c r="AI270" s="39"/>
      <c r="AJ270" s="90"/>
      <c r="AK270" s="39" t="e">
        <f t="shared" si="86"/>
        <v>#DIV/0!</v>
      </c>
    </row>
    <row r="271" spans="1:37" s="43" customFormat="1" ht="11.25">
      <c r="A271" s="41" t="s">
        <v>423</v>
      </c>
      <c r="B271" s="42"/>
      <c r="C271" s="43" t="s">
        <v>424</v>
      </c>
      <c r="D271" s="44"/>
      <c r="E271" s="44"/>
      <c r="F271" s="45"/>
      <c r="G271" s="44"/>
      <c r="H271" s="44">
        <f>11067096+4291133</f>
        <v>15358229</v>
      </c>
      <c r="I271" s="45"/>
      <c r="J271" s="44"/>
      <c r="K271" s="44">
        <v>25000000</v>
      </c>
      <c r="L271" s="44">
        <v>25000000</v>
      </c>
      <c r="M271" s="44">
        <f>L271-K271</f>
        <v>0</v>
      </c>
      <c r="N271" s="44">
        <f>2162265.74</f>
        <v>2162265.74</v>
      </c>
      <c r="O271" s="45">
        <f>N271/L271*100</f>
        <v>8.64906296</v>
      </c>
      <c r="P271" s="44">
        <v>43500000</v>
      </c>
      <c r="Q271" s="45">
        <f>P271/H271*100</f>
        <v>283.23578193813887</v>
      </c>
      <c r="R271" s="45">
        <f>P271/L271*100</f>
        <v>174</v>
      </c>
      <c r="S271" s="45">
        <f>P271/N271*100</f>
        <v>2011.778626247854</v>
      </c>
      <c r="T271" s="44">
        <v>43500000</v>
      </c>
      <c r="U271" s="44">
        <v>43500000</v>
      </c>
      <c r="V271" s="44">
        <f t="shared" si="85"/>
        <v>0</v>
      </c>
      <c r="W271" s="44"/>
      <c r="X271" s="44"/>
      <c r="Y271" s="44">
        <v>0</v>
      </c>
      <c r="Z271" s="90">
        <f t="shared" si="90"/>
        <v>0</v>
      </c>
      <c r="AA271" s="90"/>
      <c r="AB271" s="44">
        <v>0</v>
      </c>
      <c r="AC271" s="90">
        <f t="shared" si="87"/>
        <v>0</v>
      </c>
      <c r="AD271" s="44">
        <v>0</v>
      </c>
      <c r="AE271" s="90">
        <f t="shared" si="88"/>
        <v>0</v>
      </c>
      <c r="AF271" s="90"/>
      <c r="AG271" s="44">
        <v>50781350</v>
      </c>
      <c r="AH271" s="90">
        <v>3009826.38</v>
      </c>
      <c r="AI271" s="45">
        <f>+AH271/AG271*100</f>
        <v>5.927031045846555</v>
      </c>
      <c r="AJ271" s="90">
        <v>11410386.57</v>
      </c>
      <c r="AK271" s="45">
        <f t="shared" si="86"/>
        <v>22.46964007455493</v>
      </c>
    </row>
    <row r="272" spans="1:37" s="43" customFormat="1" ht="11.25">
      <c r="A272" s="41" t="s">
        <v>425</v>
      </c>
      <c r="B272" s="42"/>
      <c r="C272" s="43" t="s">
        <v>426</v>
      </c>
      <c r="D272" s="44"/>
      <c r="E272" s="44"/>
      <c r="F272" s="45"/>
      <c r="G272" s="44"/>
      <c r="H272" s="44">
        <f>2630470+4328695+5236792</f>
        <v>12195957</v>
      </c>
      <c r="I272" s="45"/>
      <c r="J272" s="44"/>
      <c r="K272" s="44">
        <v>15000000</v>
      </c>
      <c r="L272" s="44">
        <v>15000000</v>
      </c>
      <c r="M272" s="44">
        <f>L272-K272</f>
        <v>0</v>
      </c>
      <c r="N272" s="44">
        <v>9572274.94</v>
      </c>
      <c r="O272" s="45">
        <f>N272/L272*100</f>
        <v>63.815166266666665</v>
      </c>
      <c r="P272" s="44">
        <v>10000000</v>
      </c>
      <c r="Q272" s="45">
        <f>P272/H272*100</f>
        <v>81.99438551644614</v>
      </c>
      <c r="R272" s="45">
        <f>P272/L272*100</f>
        <v>66.66666666666666</v>
      </c>
      <c r="S272" s="45">
        <f>P272/N272*100</f>
        <v>104.46837416059427</v>
      </c>
      <c r="T272" s="44">
        <v>10000000</v>
      </c>
      <c r="U272" s="44">
        <v>10000000</v>
      </c>
      <c r="V272" s="44">
        <f t="shared" si="85"/>
        <v>0</v>
      </c>
      <c r="W272" s="44"/>
      <c r="X272" s="44"/>
      <c r="Y272" s="44">
        <v>67218.3</v>
      </c>
      <c r="Z272" s="90">
        <f t="shared" si="90"/>
        <v>0.6721830000000001</v>
      </c>
      <c r="AA272" s="90"/>
      <c r="AB272" s="44">
        <v>67218.3</v>
      </c>
      <c r="AC272" s="90">
        <f t="shared" si="87"/>
        <v>0.6721830000000001</v>
      </c>
      <c r="AD272" s="44">
        <v>140525.65</v>
      </c>
      <c r="AE272" s="90">
        <f t="shared" si="88"/>
        <v>1.4052565</v>
      </c>
      <c r="AF272" s="90"/>
      <c r="AG272" s="44">
        <v>15600000</v>
      </c>
      <c r="AH272" s="90">
        <v>1456102.52</v>
      </c>
      <c r="AI272" s="45">
        <f>+AH272/AG272*100</f>
        <v>9.333990512820513</v>
      </c>
      <c r="AJ272" s="90">
        <v>3542080.2</v>
      </c>
      <c r="AK272" s="45">
        <f t="shared" si="86"/>
        <v>22.705642307692308</v>
      </c>
    </row>
    <row r="273" spans="1:37" s="43" customFormat="1" ht="11.25">
      <c r="A273" s="41" t="s">
        <v>427</v>
      </c>
      <c r="B273" s="42"/>
      <c r="C273" s="43" t="s">
        <v>428</v>
      </c>
      <c r="D273" s="44"/>
      <c r="E273" s="44"/>
      <c r="F273" s="45"/>
      <c r="G273" s="44"/>
      <c r="H273" s="44"/>
      <c r="I273" s="45"/>
      <c r="J273" s="44"/>
      <c r="K273" s="44"/>
      <c r="L273" s="44"/>
      <c r="M273" s="44"/>
      <c r="N273" s="44">
        <v>794819.75</v>
      </c>
      <c r="O273" s="45"/>
      <c r="P273" s="44"/>
      <c r="Q273" s="45"/>
      <c r="R273" s="45"/>
      <c r="S273" s="45">
        <f>P273/N273*100</f>
        <v>0</v>
      </c>
      <c r="T273" s="44"/>
      <c r="U273" s="44"/>
      <c r="V273" s="44">
        <f t="shared" si="85"/>
        <v>0</v>
      </c>
      <c r="W273" s="44"/>
      <c r="X273" s="44"/>
      <c r="Y273" s="44">
        <v>44442.03</v>
      </c>
      <c r="Z273" s="90"/>
      <c r="AA273" s="90"/>
      <c r="AB273" s="44">
        <v>272818.48</v>
      </c>
      <c r="AC273" s="90"/>
      <c r="AD273" s="44">
        <v>272818.48</v>
      </c>
      <c r="AE273" s="90"/>
      <c r="AF273" s="90"/>
      <c r="AG273" s="44"/>
      <c r="AH273" s="90">
        <v>272818.48</v>
      </c>
      <c r="AI273" s="45"/>
      <c r="AJ273" s="90">
        <v>272818.48</v>
      </c>
      <c r="AK273" s="45"/>
    </row>
    <row r="274" spans="1:37" s="43" customFormat="1" ht="11.25">
      <c r="A274" s="41" t="s">
        <v>429</v>
      </c>
      <c r="B274" s="42"/>
      <c r="C274" s="43" t="s">
        <v>430</v>
      </c>
      <c r="D274" s="44"/>
      <c r="E274" s="44"/>
      <c r="F274" s="45"/>
      <c r="G274" s="44"/>
      <c r="H274" s="44"/>
      <c r="I274" s="45"/>
      <c r="J274" s="44"/>
      <c r="K274" s="44">
        <v>25000000</v>
      </c>
      <c r="L274" s="44">
        <v>25000000</v>
      </c>
      <c r="M274" s="44">
        <f>L274-K274</f>
        <v>0</v>
      </c>
      <c r="N274" s="44"/>
      <c r="O274" s="45"/>
      <c r="P274" s="44">
        <f>30000000</f>
        <v>30000000</v>
      </c>
      <c r="Q274" s="45"/>
      <c r="R274" s="45">
        <f>P274/L274*100</f>
        <v>120</v>
      </c>
      <c r="S274" s="45"/>
      <c r="T274" s="44">
        <f>30000000</f>
        <v>30000000</v>
      </c>
      <c r="U274" s="44">
        <f>30000000</f>
        <v>30000000</v>
      </c>
      <c r="V274" s="44">
        <f t="shared" si="85"/>
        <v>0</v>
      </c>
      <c r="W274" s="44"/>
      <c r="X274" s="44"/>
      <c r="Y274" s="44">
        <v>0</v>
      </c>
      <c r="Z274" s="90">
        <f t="shared" si="90"/>
        <v>0</v>
      </c>
      <c r="AA274" s="90"/>
      <c r="AB274" s="44">
        <v>0</v>
      </c>
      <c r="AC274" s="90">
        <f t="shared" si="87"/>
        <v>0</v>
      </c>
      <c r="AD274" s="44">
        <v>0</v>
      </c>
      <c r="AE274" s="90">
        <f t="shared" si="88"/>
        <v>0</v>
      </c>
      <c r="AF274" s="90">
        <v>3416846</v>
      </c>
      <c r="AG274" s="44">
        <v>30000000</v>
      </c>
      <c r="AH274" s="90">
        <v>7149600</v>
      </c>
      <c r="AI274" s="45">
        <f>+AH274/AG274*100</f>
        <v>23.832</v>
      </c>
      <c r="AJ274" s="90">
        <v>7149600</v>
      </c>
      <c r="AK274" s="45">
        <f t="shared" si="86"/>
        <v>23.832</v>
      </c>
    </row>
    <row r="275" spans="1:37" s="43" customFormat="1" ht="11.25">
      <c r="A275" s="41" t="s">
        <v>431</v>
      </c>
      <c r="B275" s="42"/>
      <c r="C275" s="43" t="s">
        <v>432</v>
      </c>
      <c r="D275" s="44"/>
      <c r="E275" s="44"/>
      <c r="F275" s="45"/>
      <c r="G275" s="44"/>
      <c r="H275" s="44"/>
      <c r="I275" s="45"/>
      <c r="J275" s="44"/>
      <c r="K275" s="44"/>
      <c r="L275" s="44"/>
      <c r="M275" s="44"/>
      <c r="N275" s="44"/>
      <c r="O275" s="45"/>
      <c r="P275" s="44">
        <v>1840000</v>
      </c>
      <c r="Q275" s="39"/>
      <c r="R275" s="39"/>
      <c r="S275" s="39"/>
      <c r="T275" s="44">
        <v>1840000</v>
      </c>
      <c r="U275" s="44">
        <v>1840000</v>
      </c>
      <c r="V275" s="44">
        <f t="shared" si="85"/>
        <v>0</v>
      </c>
      <c r="W275" s="44"/>
      <c r="X275" s="44"/>
      <c r="Y275" s="44">
        <v>0</v>
      </c>
      <c r="Z275" s="90">
        <f t="shared" si="90"/>
        <v>0</v>
      </c>
      <c r="AA275" s="90"/>
      <c r="AB275" s="44">
        <v>0</v>
      </c>
      <c r="AC275" s="90">
        <f t="shared" si="87"/>
        <v>0</v>
      </c>
      <c r="AD275" s="44">
        <v>0</v>
      </c>
      <c r="AE275" s="90">
        <f t="shared" si="88"/>
        <v>0</v>
      </c>
      <c r="AF275" s="90"/>
      <c r="AG275" s="44">
        <v>1840000</v>
      </c>
      <c r="AH275" s="90">
        <v>0</v>
      </c>
      <c r="AI275" s="45">
        <f>+AH275/AG275*100</f>
        <v>0</v>
      </c>
      <c r="AJ275" s="90">
        <v>0</v>
      </c>
      <c r="AK275" s="45">
        <f t="shared" si="86"/>
        <v>0</v>
      </c>
    </row>
    <row r="276" spans="1:37" s="36" customFormat="1" ht="11.25">
      <c r="A276" s="8"/>
      <c r="B276" s="5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9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88"/>
      <c r="AA276" s="88"/>
      <c r="AB276" s="37"/>
      <c r="AC276" s="88" t="e">
        <f t="shared" si="87"/>
        <v>#DIV/0!</v>
      </c>
      <c r="AD276" s="37"/>
      <c r="AE276" s="88" t="e">
        <f t="shared" si="88"/>
        <v>#DIV/0!</v>
      </c>
      <c r="AF276" s="88"/>
      <c r="AH276" s="88"/>
      <c r="AI276" s="39" t="e">
        <f>+AH276/AG276*100</f>
        <v>#DIV/0!</v>
      </c>
      <c r="AJ276" s="88"/>
      <c r="AK276" s="39"/>
    </row>
    <row r="277" spans="1:37" s="24" customFormat="1" ht="15.75">
      <c r="A277" s="27">
        <v>79</v>
      </c>
      <c r="C277" s="24" t="s">
        <v>433</v>
      </c>
      <c r="D277" s="55">
        <v>554693700</v>
      </c>
      <c r="E277" s="55">
        <v>476590746</v>
      </c>
      <c r="F277" s="16">
        <f>E277/D277*100</f>
        <v>85.919624830785</v>
      </c>
      <c r="G277" s="55">
        <v>1080559800</v>
      </c>
      <c r="H277" s="55"/>
      <c r="I277" s="16">
        <f>H277/G277*100</f>
        <v>0</v>
      </c>
      <c r="J277" s="55">
        <f>2500000000+20000000+11076066</f>
        <v>2531076066</v>
      </c>
      <c r="K277" s="55"/>
      <c r="L277" s="55"/>
      <c r="M277" s="15">
        <f>L277-K277</f>
        <v>0</v>
      </c>
      <c r="N277" s="55"/>
      <c r="O277" s="56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93"/>
      <c r="AA277" s="93"/>
      <c r="AB277" s="55"/>
      <c r="AC277" s="93" t="e">
        <f t="shared" si="87"/>
        <v>#DIV/0!</v>
      </c>
      <c r="AD277" s="55"/>
      <c r="AE277" s="93" t="e">
        <f t="shared" si="88"/>
        <v>#DIV/0!</v>
      </c>
      <c r="AF277" s="93">
        <v>2531076066</v>
      </c>
      <c r="AH277" s="93"/>
      <c r="AI277" s="56" t="e">
        <f>+AH277/AG277*100</f>
        <v>#DIV/0!</v>
      </c>
      <c r="AJ277" s="93"/>
      <c r="AK277" s="56"/>
    </row>
    <row r="278" spans="1:37" ht="12.75">
      <c r="A278" s="28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6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89"/>
      <c r="AA278" s="89"/>
      <c r="AB278" s="25"/>
      <c r="AC278" s="89"/>
      <c r="AD278" s="25"/>
      <c r="AE278" s="89"/>
      <c r="AF278" s="89"/>
      <c r="AH278" s="89"/>
      <c r="AI278" s="26"/>
      <c r="AJ278" s="89"/>
      <c r="AK278" s="26"/>
    </row>
    <row r="279" spans="1:37" s="47" customFormat="1" ht="15.75">
      <c r="A279" s="46"/>
      <c r="B279" s="57" t="s">
        <v>434</v>
      </c>
      <c r="C279" s="58" t="s">
        <v>435</v>
      </c>
      <c r="D279" s="15">
        <f>D282+D321+D352+D365</f>
        <v>12304379000</v>
      </c>
      <c r="E279" s="15">
        <f>E282+E321+E352+E365</f>
        <v>10530721784</v>
      </c>
      <c r="F279" s="16">
        <f>E279/D279*100</f>
        <v>85.58515455351302</v>
      </c>
      <c r="G279" s="15">
        <f>G282+G321+G352+G365</f>
        <v>13685750000</v>
      </c>
      <c r="H279" s="15">
        <f>H282+H321+H352+H365</f>
        <v>10797353107</v>
      </c>
      <c r="I279" s="16">
        <f>H279/G279*100</f>
        <v>78.8948585718722</v>
      </c>
      <c r="J279" s="15">
        <f>J282+J321+J352+J365</f>
        <v>14152689120</v>
      </c>
      <c r="K279" s="15">
        <f>K282+K321+K352+K365</f>
        <v>14313476275</v>
      </c>
      <c r="L279" s="15">
        <f>L282+L321+L352+L365</f>
        <v>14806124700</v>
      </c>
      <c r="M279" s="15">
        <f>L279-K279</f>
        <v>492648425</v>
      </c>
      <c r="N279" s="15">
        <f>N282+N321+N352+N365</f>
        <v>11440754365.57</v>
      </c>
      <c r="O279" s="16">
        <f>N279/L279*100</f>
        <v>77.27041746156576</v>
      </c>
      <c r="P279" s="15">
        <f>P282+P321+P352+P365</f>
        <v>14806744000</v>
      </c>
      <c r="Q279" s="15">
        <f aca="true" t="shared" si="91" ref="Q279:AH279">Q282+Q321+Q352+Q365</f>
        <v>0</v>
      </c>
      <c r="R279" s="15" t="e">
        <f t="shared" si="91"/>
        <v>#DIV/0!</v>
      </c>
      <c r="S279" s="15">
        <f t="shared" si="91"/>
        <v>7365.933701484251</v>
      </c>
      <c r="T279" s="15">
        <f t="shared" si="91"/>
        <v>14806744000</v>
      </c>
      <c r="U279" s="15">
        <f t="shared" si="91"/>
        <v>14806744000</v>
      </c>
      <c r="V279" s="15">
        <f t="shared" si="91"/>
        <v>0</v>
      </c>
      <c r="W279" s="15">
        <f t="shared" si="91"/>
        <v>0</v>
      </c>
      <c r="X279" s="15">
        <f t="shared" si="91"/>
        <v>0</v>
      </c>
      <c r="Y279" s="15">
        <f t="shared" si="91"/>
        <v>944264172.5799999</v>
      </c>
      <c r="Z279" s="15">
        <f t="shared" si="91"/>
        <v>250.6438658987391</v>
      </c>
      <c r="AA279" s="15">
        <f t="shared" si="91"/>
        <v>0</v>
      </c>
      <c r="AB279" s="15">
        <f t="shared" si="91"/>
        <v>1720500723.88</v>
      </c>
      <c r="AC279" s="15" t="e">
        <f t="shared" si="91"/>
        <v>#DIV/0!</v>
      </c>
      <c r="AD279" s="15">
        <f t="shared" si="91"/>
        <v>3575481665.17</v>
      </c>
      <c r="AE279" s="15" t="e">
        <f t="shared" si="91"/>
        <v>#DIV/0!</v>
      </c>
      <c r="AF279" s="91">
        <v>5211405872</v>
      </c>
      <c r="AG279" s="15">
        <f t="shared" si="91"/>
        <v>16197656975</v>
      </c>
      <c r="AH279" s="91">
        <f t="shared" si="91"/>
        <v>4692936425.76</v>
      </c>
      <c r="AI279" s="16">
        <f>+AH279/AG279*100</f>
        <v>28.972933758278952</v>
      </c>
      <c r="AJ279" s="91">
        <f>AJ282+AJ321+AJ352+AJ365</f>
        <v>5839775141.32</v>
      </c>
      <c r="AK279" s="16">
        <f t="shared" si="86"/>
        <v>36.05320911742545</v>
      </c>
    </row>
    <row r="280" spans="1:37" s="47" customFormat="1" ht="15.75" customHeight="1">
      <c r="A280" s="46"/>
      <c r="C280" s="59" t="s">
        <v>436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6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93"/>
      <c r="AA280" s="91"/>
      <c r="AB280" s="15"/>
      <c r="AC280" s="93"/>
      <c r="AD280" s="15"/>
      <c r="AE280" s="93"/>
      <c r="AF280" s="93"/>
      <c r="AH280" s="91"/>
      <c r="AI280" s="16"/>
      <c r="AJ280" s="91"/>
      <c r="AK280" s="16"/>
    </row>
    <row r="281" spans="1:37" ht="12" customHeight="1">
      <c r="A281" s="28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6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93"/>
      <c r="AA281" s="89"/>
      <c r="AB281" s="25"/>
      <c r="AC281" s="93"/>
      <c r="AD281" s="25"/>
      <c r="AE281" s="93"/>
      <c r="AF281" s="93"/>
      <c r="AH281" s="89"/>
      <c r="AI281" s="26"/>
      <c r="AJ281" s="89"/>
      <c r="AK281" s="26"/>
    </row>
    <row r="282" spans="1:37" s="47" customFormat="1" ht="15.75" customHeight="1">
      <c r="A282" s="46">
        <v>40</v>
      </c>
      <c r="C282" s="47" t="s">
        <v>437</v>
      </c>
      <c r="D282" s="15">
        <f>D285+D294+D300+D311+D316</f>
        <v>12304379000</v>
      </c>
      <c r="E282" s="15">
        <f>E285+E294+E300+E311+E316</f>
        <v>10530721784</v>
      </c>
      <c r="F282" s="15"/>
      <c r="G282" s="15">
        <f>G285+G294+G300+G311+G316</f>
        <v>13685750000</v>
      </c>
      <c r="H282" s="15">
        <f>H285+H294+H300+H311+H316</f>
        <v>10797353107</v>
      </c>
      <c r="I282" s="15"/>
      <c r="J282" s="15">
        <f>J285+J294+J300+J311+J316</f>
        <v>14152689120</v>
      </c>
      <c r="K282" s="15">
        <f>K285+K294+K300+K311+K316</f>
        <v>14313476275</v>
      </c>
      <c r="L282" s="15">
        <f>L285+L294+L300+L311+L316</f>
        <v>1889237877</v>
      </c>
      <c r="M282" s="15"/>
      <c r="N282" s="15">
        <f>N285+N294+N300+N311+N316</f>
        <v>1842089414.1700003</v>
      </c>
      <c r="O282" s="16">
        <f>N282/L282*100</f>
        <v>97.5043659983745</v>
      </c>
      <c r="P282" s="15">
        <f>P285+P294+P300+P311+P316</f>
        <v>1953814030</v>
      </c>
      <c r="Q282" s="15">
        <f aca="true" t="shared" si="92" ref="Q282:AH282">Q285+Q294+Q300+Q311+Q316</f>
        <v>0</v>
      </c>
      <c r="R282" s="15">
        <f t="shared" si="92"/>
        <v>2493.846421676916</v>
      </c>
      <c r="S282" s="15">
        <f t="shared" si="92"/>
        <v>3548.886049606443</v>
      </c>
      <c r="T282" s="15">
        <f t="shared" si="92"/>
        <v>1953814030</v>
      </c>
      <c r="U282" s="15">
        <f t="shared" si="92"/>
        <v>1953814030</v>
      </c>
      <c r="V282" s="15">
        <f t="shared" si="92"/>
        <v>0</v>
      </c>
      <c r="W282" s="15">
        <f t="shared" si="92"/>
        <v>0</v>
      </c>
      <c r="X282" s="15">
        <f t="shared" si="92"/>
        <v>0</v>
      </c>
      <c r="Y282" s="15">
        <f t="shared" si="92"/>
        <v>156561442.24000004</v>
      </c>
      <c r="Z282" s="15">
        <f t="shared" si="92"/>
        <v>162.88850110309505</v>
      </c>
      <c r="AA282" s="15">
        <f t="shared" si="92"/>
        <v>0</v>
      </c>
      <c r="AB282" s="15">
        <f t="shared" si="92"/>
        <v>295395190.88000005</v>
      </c>
      <c r="AC282" s="15" t="e">
        <f t="shared" si="92"/>
        <v>#DIV/0!</v>
      </c>
      <c r="AD282" s="15">
        <f t="shared" si="92"/>
        <v>591567255.58</v>
      </c>
      <c r="AE282" s="15" t="e">
        <f t="shared" si="92"/>
        <v>#DIV/0!</v>
      </c>
      <c r="AF282" s="15"/>
      <c r="AG282" s="15">
        <f t="shared" si="92"/>
        <v>2083276025</v>
      </c>
      <c r="AH282" s="91">
        <f t="shared" si="92"/>
        <v>754980755.2600001</v>
      </c>
      <c r="AI282" s="16">
        <f>+AH282/AG282*100</f>
        <v>36.24007314441206</v>
      </c>
      <c r="AJ282" s="91">
        <f>AJ285+AJ294+AJ300+AJ311+AJ316</f>
        <v>928240841.1</v>
      </c>
      <c r="AK282" s="16">
        <f t="shared" si="86"/>
        <v>44.55678604087041</v>
      </c>
    </row>
    <row r="283" spans="1:37" s="99" customFormat="1" ht="12.75">
      <c r="A283" s="105"/>
      <c r="C283" s="74" t="s">
        <v>438</v>
      </c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22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100"/>
      <c r="AA283" s="100"/>
      <c r="AB283" s="33"/>
      <c r="AC283" s="100"/>
      <c r="AD283" s="33"/>
      <c r="AE283" s="100"/>
      <c r="AF283" s="100"/>
      <c r="AG283" s="25"/>
      <c r="AH283" s="100"/>
      <c r="AI283" s="22"/>
      <c r="AJ283" s="100"/>
      <c r="AK283" s="22"/>
    </row>
    <row r="284" spans="1:37" s="20" customFormat="1" ht="12.75" customHeight="1">
      <c r="A284" s="60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3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100"/>
      <c r="AA284" s="94"/>
      <c r="AB284" s="21"/>
      <c r="AC284" s="100"/>
      <c r="AD284" s="21"/>
      <c r="AE284" s="100"/>
      <c r="AF284" s="100"/>
      <c r="AG284" s="25"/>
      <c r="AH284" s="94"/>
      <c r="AI284" s="23"/>
      <c r="AJ284" s="94"/>
      <c r="AK284" s="23"/>
    </row>
    <row r="285" spans="1:37" s="31" customFormat="1" ht="12.75">
      <c r="A285" s="30">
        <v>400</v>
      </c>
      <c r="C285" s="31" t="s">
        <v>439</v>
      </c>
      <c r="D285" s="32">
        <f>SUM(D286:D292)</f>
        <v>12304379000</v>
      </c>
      <c r="E285" s="32">
        <f>SUM(E286:E292)</f>
        <v>10530721784</v>
      </c>
      <c r="F285" s="32"/>
      <c r="G285" s="32">
        <f>SUM(G286:G292)</f>
        <v>13685750000</v>
      </c>
      <c r="H285" s="32">
        <f>SUM(H286:H292)</f>
        <v>10797353107</v>
      </c>
      <c r="I285" s="32"/>
      <c r="J285" s="32">
        <f>SUM(J286:J292)</f>
        <v>14152689120</v>
      </c>
      <c r="K285" s="32">
        <f>SUM(K286:K292)</f>
        <v>14313476275</v>
      </c>
      <c r="L285" s="32">
        <f>SUM(L286:L292)</f>
        <v>712081600</v>
      </c>
      <c r="M285" s="32"/>
      <c r="N285" s="32">
        <f>SUM(N286:N292)</f>
        <v>691709825.1</v>
      </c>
      <c r="O285" s="34">
        <f aca="true" t="shared" si="93" ref="O285:O290">N285/L285*100</f>
        <v>97.13912353584196</v>
      </c>
      <c r="P285" s="32">
        <f>SUM(P286:P292)</f>
        <v>765569200</v>
      </c>
      <c r="Q285" s="32">
        <f aca="true" t="shared" si="94" ref="Q285:AH285">SUM(Q286:Q292)</f>
        <v>0</v>
      </c>
      <c r="R285" s="32">
        <f t="shared" si="94"/>
        <v>630.8650980200342</v>
      </c>
      <c r="S285" s="32">
        <f t="shared" si="94"/>
        <v>652.5013863101221</v>
      </c>
      <c r="T285" s="32">
        <f t="shared" si="94"/>
        <v>765569200</v>
      </c>
      <c r="U285" s="32">
        <f t="shared" si="94"/>
        <v>765569200</v>
      </c>
      <c r="V285" s="32">
        <f t="shared" si="94"/>
        <v>0</v>
      </c>
      <c r="W285" s="32">
        <f t="shared" si="94"/>
        <v>0</v>
      </c>
      <c r="X285" s="32">
        <f t="shared" si="94"/>
        <v>0</v>
      </c>
      <c r="Y285" s="32">
        <f t="shared" si="94"/>
        <v>56685252.1</v>
      </c>
      <c r="Z285" s="32">
        <f t="shared" si="94"/>
        <v>50.03467566488496</v>
      </c>
      <c r="AA285" s="32">
        <f t="shared" si="94"/>
        <v>0</v>
      </c>
      <c r="AB285" s="32">
        <f t="shared" si="94"/>
        <v>114305845.10000001</v>
      </c>
      <c r="AC285" s="32" t="e">
        <f t="shared" si="94"/>
        <v>#DIV/0!</v>
      </c>
      <c r="AD285" s="32">
        <f t="shared" si="94"/>
        <v>230348814.49999997</v>
      </c>
      <c r="AE285" s="32" t="e">
        <f t="shared" si="94"/>
        <v>#DIV/0!</v>
      </c>
      <c r="AF285" s="32"/>
      <c r="AG285" s="32">
        <f>SUM(AG286:AG292)</f>
        <v>777983098</v>
      </c>
      <c r="AH285" s="87">
        <f t="shared" si="94"/>
        <v>313750589.8</v>
      </c>
      <c r="AI285" s="34">
        <f aca="true" t="shared" si="95" ref="AI285:AI292">+AH285/AG285*100</f>
        <v>40.328715444663814</v>
      </c>
      <c r="AJ285" s="87">
        <f>SUM(AJ286:AJ292)</f>
        <v>372363335.1</v>
      </c>
      <c r="AK285" s="34">
        <f t="shared" si="86"/>
        <v>47.8626510083899</v>
      </c>
    </row>
    <row r="286" spans="1:37" s="36" customFormat="1" ht="11.25">
      <c r="A286" s="8">
        <v>4000</v>
      </c>
      <c r="C286" s="36" t="s">
        <v>440</v>
      </c>
      <c r="D286" s="37">
        <v>12304379000</v>
      </c>
      <c r="E286" s="37">
        <v>10530721784</v>
      </c>
      <c r="F286" s="37"/>
      <c r="G286" s="37">
        <v>13685750000</v>
      </c>
      <c r="H286" s="37">
        <v>10797353107</v>
      </c>
      <c r="I286" s="37"/>
      <c r="J286" s="37">
        <f>14166189120-13500000</f>
        <v>14152689120</v>
      </c>
      <c r="K286" s="37">
        <f>14326976275-13500000</f>
        <v>14313476275</v>
      </c>
      <c r="L286" s="37">
        <f>'[1]odhodki-post-konti (2)'!J1397</f>
        <v>608390750</v>
      </c>
      <c r="M286" s="37"/>
      <c r="N286" s="37">
        <v>592562698.7</v>
      </c>
      <c r="O286" s="39">
        <f t="shared" si="93"/>
        <v>97.39837410414279</v>
      </c>
      <c r="P286" s="37">
        <f>'[1]odhodki-post-konti'!K1410</f>
        <v>652733100</v>
      </c>
      <c r="Q286" s="39"/>
      <c r="R286" s="39">
        <f>P286/L286*100</f>
        <v>107.28846551332347</v>
      </c>
      <c r="S286" s="39">
        <f>P286/N286*100</f>
        <v>110.15426746098017</v>
      </c>
      <c r="T286" s="37">
        <f>'[1]odhodki-post-konti'!K1410</f>
        <v>652733100</v>
      </c>
      <c r="U286" s="37">
        <f>'[1]odhodki-post-konti'!K1410</f>
        <v>652733100</v>
      </c>
      <c r="V286" s="37">
        <f aca="true" t="shared" si="96" ref="V286:V292">U286-P286</f>
        <v>0</v>
      </c>
      <c r="W286" s="37"/>
      <c r="X286" s="37"/>
      <c r="Y286" s="37">
        <v>49480020.6</v>
      </c>
      <c r="Z286" s="88">
        <f>+Y286/P286*100</f>
        <v>7.580436873815653</v>
      </c>
      <c r="AA286" s="88"/>
      <c r="AB286" s="37">
        <v>100552855.4</v>
      </c>
      <c r="AC286" s="88">
        <f t="shared" si="87"/>
        <v>15.404896028713727</v>
      </c>
      <c r="AD286" s="37">
        <v>203243133.1</v>
      </c>
      <c r="AE286" s="88">
        <f t="shared" si="88"/>
        <v>31.13724937497424</v>
      </c>
      <c r="AF286" s="88"/>
      <c r="AG286" s="37">
        <v>665509099</v>
      </c>
      <c r="AH286" s="88">
        <v>254445739.6</v>
      </c>
      <c r="AI286" s="39">
        <f t="shared" si="95"/>
        <v>38.23324729629279</v>
      </c>
      <c r="AJ286" s="88">
        <v>306611555.5</v>
      </c>
      <c r="AK286" s="39">
        <f t="shared" si="86"/>
        <v>46.071730042567005</v>
      </c>
    </row>
    <row r="287" spans="1:37" s="36" customFormat="1" ht="11.25">
      <c r="A287" s="8">
        <v>4001</v>
      </c>
      <c r="C287" s="36" t="s">
        <v>441</v>
      </c>
      <c r="D287" s="37"/>
      <c r="E287" s="37"/>
      <c r="F287" s="37"/>
      <c r="G287" s="37"/>
      <c r="H287" s="37"/>
      <c r="I287" s="37"/>
      <c r="J287" s="37"/>
      <c r="K287" s="37"/>
      <c r="L287" s="37">
        <f>'[1]odhodki-post-konti (2)'!K1397</f>
        <v>24620700</v>
      </c>
      <c r="M287" s="37">
        <f>'[1]odhodki-post-konti'!K1410</f>
        <v>652733100</v>
      </c>
      <c r="N287" s="37">
        <v>24620691</v>
      </c>
      <c r="O287" s="39">
        <f t="shared" si="93"/>
        <v>99.99996344539352</v>
      </c>
      <c r="P287" s="37">
        <f>'[1]odhodki-post-konti'!L1410</f>
        <v>26932300</v>
      </c>
      <c r="Q287" s="39"/>
      <c r="R287" s="39">
        <f>P287/L287*100</f>
        <v>109.3888475957223</v>
      </c>
      <c r="S287" s="39">
        <f>P287/N287*100</f>
        <v>109.3888875823997</v>
      </c>
      <c r="T287" s="37">
        <f>'[1]odhodki-post-konti'!L1410</f>
        <v>26932300</v>
      </c>
      <c r="U287" s="37">
        <f>'[1]odhodki-post-konti'!L1410</f>
        <v>26932300</v>
      </c>
      <c r="V287" s="37">
        <f t="shared" si="96"/>
        <v>0</v>
      </c>
      <c r="W287" s="37"/>
      <c r="X287" s="37"/>
      <c r="Y287" s="37">
        <v>0</v>
      </c>
      <c r="Z287" s="88">
        <f>+Y287/P287*100</f>
        <v>0</v>
      </c>
      <c r="AA287" s="88"/>
      <c r="AB287" s="37">
        <v>0</v>
      </c>
      <c r="AC287" s="88">
        <f t="shared" si="87"/>
        <v>0</v>
      </c>
      <c r="AD287" s="37">
        <v>0</v>
      </c>
      <c r="AE287" s="88">
        <f t="shared" si="88"/>
        <v>0</v>
      </c>
      <c r="AF287" s="88"/>
      <c r="AG287" s="37">
        <v>27007500</v>
      </c>
      <c r="AH287" s="88">
        <v>26399134.1</v>
      </c>
      <c r="AI287" s="39">
        <f t="shared" si="95"/>
        <v>97.7474186799963</v>
      </c>
      <c r="AJ287" s="88">
        <v>26399134.1</v>
      </c>
      <c r="AK287" s="39">
        <f t="shared" si="86"/>
        <v>97.7474186799963</v>
      </c>
    </row>
    <row r="288" spans="1:37" s="36" customFormat="1" ht="11.25">
      <c r="A288" s="8">
        <v>4002</v>
      </c>
      <c r="C288" s="36" t="s">
        <v>442</v>
      </c>
      <c r="D288" s="37"/>
      <c r="E288" s="37"/>
      <c r="F288" s="37"/>
      <c r="G288" s="37"/>
      <c r="H288" s="37"/>
      <c r="I288" s="37"/>
      <c r="J288" s="37"/>
      <c r="K288" s="37"/>
      <c r="L288" s="37">
        <f>'[1]odhodki-post-konti (2)'!L1397</f>
        <v>47812750</v>
      </c>
      <c r="M288" s="37"/>
      <c r="N288" s="37">
        <v>44853127</v>
      </c>
      <c r="O288" s="39">
        <f t="shared" si="93"/>
        <v>93.80997118969313</v>
      </c>
      <c r="P288" s="37">
        <f>'[1]odhodki-post-konti'!M1410</f>
        <v>51746800</v>
      </c>
      <c r="Q288" s="39"/>
      <c r="R288" s="39">
        <f>P288/L288*100</f>
        <v>108.22803540896517</v>
      </c>
      <c r="S288" s="39">
        <f>P288/N288*100</f>
        <v>115.36943678419567</v>
      </c>
      <c r="T288" s="37">
        <f>'[1]odhodki-post-konti'!M1410</f>
        <v>51746800</v>
      </c>
      <c r="U288" s="37">
        <f>'[1]odhodki-post-konti'!M1410</f>
        <v>51746800</v>
      </c>
      <c r="V288" s="37">
        <f t="shared" si="96"/>
        <v>0</v>
      </c>
      <c r="W288" s="37"/>
      <c r="X288" s="37"/>
      <c r="Y288" s="37">
        <v>4118727</v>
      </c>
      <c r="Z288" s="88">
        <f>+Y288/P288*100</f>
        <v>7.959384928150147</v>
      </c>
      <c r="AA288" s="88"/>
      <c r="AB288" s="37">
        <v>8237316</v>
      </c>
      <c r="AC288" s="88">
        <f t="shared" si="87"/>
        <v>15.918503173143073</v>
      </c>
      <c r="AD288" s="37">
        <v>16897076</v>
      </c>
      <c r="AE288" s="88">
        <f t="shared" si="88"/>
        <v>32.65337373518749</v>
      </c>
      <c r="AF288" s="88"/>
      <c r="AG288" s="37">
        <v>51388600</v>
      </c>
      <c r="AH288" s="88">
        <v>20464787</v>
      </c>
      <c r="AI288" s="39">
        <f t="shared" si="95"/>
        <v>39.82359317046972</v>
      </c>
      <c r="AJ288" s="88">
        <v>24556405</v>
      </c>
      <c r="AK288" s="39">
        <f t="shared" si="86"/>
        <v>47.785705389911385</v>
      </c>
    </row>
    <row r="289" spans="1:37" s="36" customFormat="1" ht="11.25">
      <c r="A289" s="8">
        <v>4003</v>
      </c>
      <c r="C289" s="36" t="s">
        <v>443</v>
      </c>
      <c r="D289" s="37"/>
      <c r="E289" s="37"/>
      <c r="F289" s="37"/>
      <c r="G289" s="37"/>
      <c r="H289" s="37"/>
      <c r="I289" s="37"/>
      <c r="J289" s="37"/>
      <c r="K289" s="37"/>
      <c r="L289" s="37">
        <f>'[1]odhodki-post-konti (2)'!M1397</f>
        <v>16681950</v>
      </c>
      <c r="M289" s="37"/>
      <c r="N289" s="37">
        <v>14848633.9</v>
      </c>
      <c r="O289" s="39">
        <f t="shared" si="93"/>
        <v>89.01018106396434</v>
      </c>
      <c r="P289" s="37">
        <f>'[1]odhodki-post-konti'!N1410</f>
        <v>22196500</v>
      </c>
      <c r="Q289" s="39"/>
      <c r="R289" s="39">
        <f>P289/L289*100</f>
        <v>133.05698674315653</v>
      </c>
      <c r="S289" s="39">
        <f>P289/N289*100</f>
        <v>149.4851320968995</v>
      </c>
      <c r="T289" s="37">
        <f>'[1]odhodki-post-konti'!N1410</f>
        <v>22196500</v>
      </c>
      <c r="U289" s="37">
        <f>'[1]odhodki-post-konti'!N1410</f>
        <v>22196500</v>
      </c>
      <c r="V289" s="37">
        <f t="shared" si="96"/>
        <v>0</v>
      </c>
      <c r="W289" s="37"/>
      <c r="X289" s="37"/>
      <c r="Y289" s="37">
        <v>1472365.6</v>
      </c>
      <c r="Z289" s="88">
        <f>+Y289/P289*100</f>
        <v>6.633323271686978</v>
      </c>
      <c r="AA289" s="88"/>
      <c r="AB289" s="37">
        <v>3056601.9</v>
      </c>
      <c r="AC289" s="88">
        <f t="shared" si="87"/>
        <v>13.770648075146982</v>
      </c>
      <c r="AD289" s="37">
        <v>6210107.7</v>
      </c>
      <c r="AE289" s="88">
        <f t="shared" si="88"/>
        <v>27.977869033406165</v>
      </c>
      <c r="AF289" s="88"/>
      <c r="AG289" s="37">
        <v>22117399</v>
      </c>
      <c r="AH289" s="88">
        <v>7509480.3</v>
      </c>
      <c r="AI289" s="39">
        <f t="shared" si="95"/>
        <v>33.952818321901226</v>
      </c>
      <c r="AJ289" s="88">
        <v>9179009</v>
      </c>
      <c r="AK289" s="39">
        <f t="shared" si="86"/>
        <v>41.50130401861449</v>
      </c>
    </row>
    <row r="290" spans="1:37" s="36" customFormat="1" ht="11.25">
      <c r="A290" s="8">
        <v>4004</v>
      </c>
      <c r="C290" s="36" t="s">
        <v>444</v>
      </c>
      <c r="D290" s="37"/>
      <c r="E290" s="37"/>
      <c r="F290" s="37"/>
      <c r="G290" s="37"/>
      <c r="H290" s="37"/>
      <c r="I290" s="37"/>
      <c r="J290" s="37"/>
      <c r="K290" s="37"/>
      <c r="L290" s="37">
        <f>'[1]odhodki-post-konti (2)'!N1397</f>
        <v>5960300</v>
      </c>
      <c r="M290" s="37"/>
      <c r="N290" s="37">
        <v>6246706.2</v>
      </c>
      <c r="O290" s="39">
        <f t="shared" si="93"/>
        <v>104.80523128030468</v>
      </c>
      <c r="P290" s="37">
        <f>'[1]odhodki-post-konti'!O1410</f>
        <v>6590000</v>
      </c>
      <c r="Q290" s="39"/>
      <c r="R290" s="39">
        <f>P290/L290*100</f>
        <v>110.56490445111824</v>
      </c>
      <c r="S290" s="39">
        <f>P290/N290*100</f>
        <v>105.4955970235962</v>
      </c>
      <c r="T290" s="37">
        <f>'[1]odhodki-post-konti'!O1410</f>
        <v>6590000</v>
      </c>
      <c r="U290" s="37">
        <f>'[1]odhodki-post-konti'!O1410</f>
        <v>6590000</v>
      </c>
      <c r="V290" s="37">
        <f t="shared" si="96"/>
        <v>0</v>
      </c>
      <c r="W290" s="37"/>
      <c r="X290" s="37"/>
      <c r="Y290" s="37">
        <v>636765.3</v>
      </c>
      <c r="Z290" s="88">
        <f>+Y290/P290*100</f>
        <v>9.662599393019727</v>
      </c>
      <c r="AA290" s="88"/>
      <c r="AB290" s="37">
        <v>1386747.2</v>
      </c>
      <c r="AC290" s="88">
        <f t="shared" si="87"/>
        <v>21.043204855842184</v>
      </c>
      <c r="AD290" s="37">
        <v>2593845.1</v>
      </c>
      <c r="AE290" s="88">
        <f t="shared" si="88"/>
        <v>39.360320182094085</v>
      </c>
      <c r="AF290" s="88"/>
      <c r="AG290" s="37">
        <v>6590000</v>
      </c>
      <c r="AH290" s="88">
        <v>3289419.2</v>
      </c>
      <c r="AI290" s="39">
        <f t="shared" si="95"/>
        <v>49.915314112291355</v>
      </c>
      <c r="AJ290" s="88">
        <v>3856513.9</v>
      </c>
      <c r="AK290" s="39">
        <f t="shared" si="86"/>
        <v>58.52069650986343</v>
      </c>
    </row>
    <row r="291" spans="1:37" s="36" customFormat="1" ht="11.25" hidden="1">
      <c r="A291" s="8">
        <v>4005</v>
      </c>
      <c r="C291" s="36" t="s">
        <v>445</v>
      </c>
      <c r="D291" s="37"/>
      <c r="E291" s="37"/>
      <c r="F291" s="37"/>
      <c r="G291" s="37"/>
      <c r="H291" s="37"/>
      <c r="I291" s="37"/>
      <c r="J291" s="37"/>
      <c r="K291" s="37"/>
      <c r="L291" s="37">
        <f>'[1]odhodki-post-konti (2)'!O1397</f>
        <v>0</v>
      </c>
      <c r="M291" s="37"/>
      <c r="N291" s="37"/>
      <c r="O291" s="39"/>
      <c r="P291" s="37">
        <f>'[1]odhodki-post-konti'!P1410</f>
        <v>0</v>
      </c>
      <c r="Q291" s="39"/>
      <c r="R291" s="39"/>
      <c r="S291" s="39"/>
      <c r="T291" s="37">
        <f>'[1]odhodki-post-konti'!P1410</f>
        <v>0</v>
      </c>
      <c r="U291" s="37">
        <f>'[1]odhodki-post-konti'!P1410</f>
        <v>0</v>
      </c>
      <c r="V291" s="37">
        <f t="shared" si="96"/>
        <v>0</v>
      </c>
      <c r="W291" s="37"/>
      <c r="X291" s="37"/>
      <c r="Y291" s="37">
        <v>0</v>
      </c>
      <c r="Z291" s="88"/>
      <c r="AA291" s="88"/>
      <c r="AB291" s="37">
        <v>0</v>
      </c>
      <c r="AC291" s="88" t="e">
        <f t="shared" si="87"/>
        <v>#DIV/0!</v>
      </c>
      <c r="AD291" s="37">
        <v>0</v>
      </c>
      <c r="AE291" s="88" t="e">
        <f t="shared" si="88"/>
        <v>#DIV/0!</v>
      </c>
      <c r="AF291" s="88"/>
      <c r="AH291" s="88">
        <v>0</v>
      </c>
      <c r="AI291" s="39" t="e">
        <f t="shared" si="95"/>
        <v>#DIV/0!</v>
      </c>
      <c r="AJ291" s="88"/>
      <c r="AK291" s="39" t="e">
        <f t="shared" si="86"/>
        <v>#DIV/0!</v>
      </c>
    </row>
    <row r="292" spans="1:37" s="36" customFormat="1" ht="11.25">
      <c r="A292" s="8">
        <v>4009</v>
      </c>
      <c r="C292" s="36" t="s">
        <v>446</v>
      </c>
      <c r="D292" s="37"/>
      <c r="E292" s="37"/>
      <c r="F292" s="37"/>
      <c r="G292" s="37"/>
      <c r="H292" s="37"/>
      <c r="I292" s="37"/>
      <c r="J292" s="37"/>
      <c r="K292" s="37"/>
      <c r="L292" s="37">
        <f>'[1]odhodki-post-konti (2)'!P1397</f>
        <v>8615150</v>
      </c>
      <c r="M292" s="37"/>
      <c r="N292" s="37">
        <v>8577968.3</v>
      </c>
      <c r="O292" s="39">
        <f>N292/L292*100</f>
        <v>99.56841494344266</v>
      </c>
      <c r="P292" s="37">
        <f>'[1]odhodki-post-konti'!Q1410</f>
        <v>5370500</v>
      </c>
      <c r="Q292" s="39"/>
      <c r="R292" s="39">
        <f>P292/L292*100</f>
        <v>62.33785830774856</v>
      </c>
      <c r="S292" s="39">
        <f>P292/N292*100</f>
        <v>62.60806536205082</v>
      </c>
      <c r="T292" s="37">
        <f>'[1]odhodki-post-konti'!Q1410</f>
        <v>5370500</v>
      </c>
      <c r="U292" s="37">
        <f>'[1]odhodki-post-konti'!Q1410</f>
        <v>5370500</v>
      </c>
      <c r="V292" s="37">
        <f t="shared" si="96"/>
        <v>0</v>
      </c>
      <c r="W292" s="37"/>
      <c r="X292" s="37"/>
      <c r="Y292" s="37">
        <v>977373.6</v>
      </c>
      <c r="Z292" s="88">
        <f>+Y292/P292*100</f>
        <v>18.198931198212456</v>
      </c>
      <c r="AA292" s="88"/>
      <c r="AB292" s="37">
        <v>1072324.6</v>
      </c>
      <c r="AC292" s="88">
        <f t="shared" si="87"/>
        <v>19.966941625546973</v>
      </c>
      <c r="AD292" s="37">
        <v>1404652.6</v>
      </c>
      <c r="AE292" s="88">
        <f t="shared" si="88"/>
        <v>26.154968811097667</v>
      </c>
      <c r="AF292" s="88"/>
      <c r="AG292" s="37">
        <v>5370500</v>
      </c>
      <c r="AH292" s="88">
        <v>1642029.6</v>
      </c>
      <c r="AI292" s="39">
        <f t="shared" si="95"/>
        <v>30.574985569313846</v>
      </c>
      <c r="AJ292" s="88">
        <v>1760717.6</v>
      </c>
      <c r="AK292" s="39">
        <f t="shared" si="86"/>
        <v>32.784984638301836</v>
      </c>
    </row>
    <row r="293" spans="1:37" ht="12.75">
      <c r="A293" s="28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6"/>
      <c r="P293" s="25"/>
      <c r="Q293" s="26"/>
      <c r="R293" s="26"/>
      <c r="S293" s="26"/>
      <c r="T293" s="25"/>
      <c r="U293" s="25"/>
      <c r="V293" s="25"/>
      <c r="W293" s="25"/>
      <c r="X293" s="25"/>
      <c r="Y293" s="25"/>
      <c r="Z293" s="94"/>
      <c r="AA293" s="89"/>
      <c r="AB293" s="25"/>
      <c r="AC293" s="94"/>
      <c r="AD293" s="25"/>
      <c r="AE293" s="94"/>
      <c r="AF293" s="94"/>
      <c r="AH293" s="89"/>
      <c r="AI293" s="26"/>
      <c r="AJ293" s="89"/>
      <c r="AK293" s="26"/>
    </row>
    <row r="294" spans="1:37" s="31" customFormat="1" ht="12.75">
      <c r="A294" s="30">
        <v>401</v>
      </c>
      <c r="C294" s="31" t="s">
        <v>447</v>
      </c>
      <c r="D294" s="32">
        <f>SUM(D295:D298)</f>
        <v>0</v>
      </c>
      <c r="E294" s="32">
        <f>SUM(E295:E298)</f>
        <v>0</v>
      </c>
      <c r="F294" s="32"/>
      <c r="G294" s="32">
        <f>SUM(G295:G298)</f>
        <v>0</v>
      </c>
      <c r="H294" s="32">
        <f>SUM(H295:H298)</f>
        <v>0</v>
      </c>
      <c r="I294" s="32"/>
      <c r="J294" s="32">
        <f>SUM(J295:J298)</f>
        <v>0</v>
      </c>
      <c r="K294" s="32">
        <f>SUM(K295:K298)</f>
        <v>0</v>
      </c>
      <c r="L294" s="32">
        <f>SUM(L295:L298)</f>
        <v>99805050</v>
      </c>
      <c r="M294" s="32"/>
      <c r="N294" s="32">
        <f>SUM(N295:N298)</f>
        <v>97813103.30000001</v>
      </c>
      <c r="O294" s="34">
        <f>N294/L294*100</f>
        <v>98.00416241462733</v>
      </c>
      <c r="P294" s="32">
        <f>SUM(P295:P298)</f>
        <v>108361800</v>
      </c>
      <c r="Q294" s="32">
        <f aca="true" t="shared" si="97" ref="Q294:AH294">SUM(Q295:Q298)</f>
        <v>0</v>
      </c>
      <c r="R294" s="32">
        <f t="shared" si="97"/>
        <v>434.2610327333475</v>
      </c>
      <c r="S294" s="32">
        <f t="shared" si="97"/>
        <v>443.19050126839807</v>
      </c>
      <c r="T294" s="32">
        <f t="shared" si="97"/>
        <v>108361800</v>
      </c>
      <c r="U294" s="32">
        <f t="shared" si="97"/>
        <v>108361800</v>
      </c>
      <c r="V294" s="32">
        <f t="shared" si="97"/>
        <v>0</v>
      </c>
      <c r="W294" s="32">
        <f t="shared" si="97"/>
        <v>0</v>
      </c>
      <c r="X294" s="32">
        <f t="shared" si="97"/>
        <v>0</v>
      </c>
      <c r="Y294" s="32">
        <f t="shared" si="97"/>
        <v>8252824.1</v>
      </c>
      <c r="Z294" s="32">
        <f t="shared" si="97"/>
        <v>30.45925815367797</v>
      </c>
      <c r="AA294" s="32">
        <f t="shared" si="97"/>
        <v>0</v>
      </c>
      <c r="AB294" s="32">
        <f t="shared" si="97"/>
        <v>16744794.7</v>
      </c>
      <c r="AC294" s="32">
        <f t="shared" si="97"/>
        <v>61.802964757155735</v>
      </c>
      <c r="AD294" s="32">
        <f t="shared" si="97"/>
        <v>33772139.6</v>
      </c>
      <c r="AE294" s="32">
        <f t="shared" si="97"/>
        <v>124.64949538041333</v>
      </c>
      <c r="AF294" s="32"/>
      <c r="AG294" s="32">
        <f t="shared" si="97"/>
        <v>110379402</v>
      </c>
      <c r="AH294" s="87">
        <f t="shared" si="97"/>
        <v>42232567.00000001</v>
      </c>
      <c r="AI294" s="34">
        <f>+AH294/AG294*100</f>
        <v>38.26127541441111</v>
      </c>
      <c r="AJ294" s="87">
        <f>SUM(AJ295:AJ298)</f>
        <v>50884400.9</v>
      </c>
      <c r="AK294" s="34">
        <f t="shared" si="86"/>
        <v>46.09954391671736</v>
      </c>
    </row>
    <row r="295" spans="1:37" s="36" customFormat="1" ht="11.25">
      <c r="A295" s="8">
        <v>4010</v>
      </c>
      <c r="C295" s="36" t="s">
        <v>448</v>
      </c>
      <c r="D295" s="37"/>
      <c r="E295" s="37"/>
      <c r="F295" s="37"/>
      <c r="G295" s="37"/>
      <c r="H295" s="37"/>
      <c r="I295" s="37"/>
      <c r="J295" s="37"/>
      <c r="K295" s="37"/>
      <c r="L295" s="37">
        <f>'[1]odhodki-post-konti (2)'!Q1397</f>
        <v>55551600</v>
      </c>
      <c r="M295" s="37"/>
      <c r="N295" s="37">
        <v>54443142.6</v>
      </c>
      <c r="O295" s="39">
        <f>N295/L295*100</f>
        <v>98.00463460998424</v>
      </c>
      <c r="P295" s="37">
        <f>'[1]odhodki-post-konti'!R1410</f>
        <v>60314500</v>
      </c>
      <c r="Q295" s="39"/>
      <c r="R295" s="39">
        <f>P295/L295*100</f>
        <v>108.57383045672853</v>
      </c>
      <c r="S295" s="39">
        <f>P295/N295*100</f>
        <v>110.78438370675539</v>
      </c>
      <c r="T295" s="37">
        <f>'[1]odhodki-post-konti'!R1410</f>
        <v>60314500</v>
      </c>
      <c r="U295" s="37">
        <f>'[1]odhodki-post-konti'!R1410</f>
        <v>60314500</v>
      </c>
      <c r="V295" s="37">
        <f>U295-P295</f>
        <v>0</v>
      </c>
      <c r="W295" s="37"/>
      <c r="X295" s="37"/>
      <c r="Y295" s="37">
        <v>4593558.5</v>
      </c>
      <c r="Z295" s="88">
        <f>+Y295/P295*100</f>
        <v>7.616010246292351</v>
      </c>
      <c r="AA295" s="88"/>
      <c r="AB295" s="37">
        <v>9320222.2</v>
      </c>
      <c r="AC295" s="88">
        <f t="shared" si="87"/>
        <v>15.452705734110369</v>
      </c>
      <c r="AD295" s="37">
        <v>18797710.4</v>
      </c>
      <c r="AE295" s="88">
        <f t="shared" si="88"/>
        <v>31.166154738910212</v>
      </c>
      <c r="AF295" s="88"/>
      <c r="AG295" s="37">
        <v>61437002</v>
      </c>
      <c r="AH295" s="88">
        <v>23506773.3</v>
      </c>
      <c r="AI295" s="39">
        <f>+AH295/AG295*100</f>
        <v>38.26158916413272</v>
      </c>
      <c r="AJ295" s="88">
        <v>28322463.8</v>
      </c>
      <c r="AK295" s="39">
        <f t="shared" si="86"/>
        <v>46.10000956752415</v>
      </c>
    </row>
    <row r="296" spans="1:37" s="36" customFormat="1" ht="11.25">
      <c r="A296" s="8">
        <v>4011</v>
      </c>
      <c r="C296" s="36" t="s">
        <v>449</v>
      </c>
      <c r="D296" s="37"/>
      <c r="E296" s="37"/>
      <c r="F296" s="37"/>
      <c r="G296" s="37"/>
      <c r="H296" s="37"/>
      <c r="I296" s="37"/>
      <c r="J296" s="37"/>
      <c r="K296" s="37"/>
      <c r="L296" s="37">
        <f>'[1]odhodki-post-konti (2)'!R1397</f>
        <v>43248750</v>
      </c>
      <c r="M296" s="37"/>
      <c r="N296" s="37">
        <v>42385679.8</v>
      </c>
      <c r="O296" s="39">
        <f>N296/L296*100</f>
        <v>98.0044042891413</v>
      </c>
      <c r="P296" s="37">
        <f>'[1]odhodki-post-konti'!S1410</f>
        <v>46956600</v>
      </c>
      <c r="Q296" s="39"/>
      <c r="R296" s="39">
        <f>P296/L296*100</f>
        <v>108.57331136738055</v>
      </c>
      <c r="S296" s="39">
        <f>P296/N296*100</f>
        <v>110.78411440271393</v>
      </c>
      <c r="T296" s="37">
        <f>'[1]odhodki-post-konti'!S1410</f>
        <v>46956600</v>
      </c>
      <c r="U296" s="37">
        <f>'[1]odhodki-post-konti'!S1410</f>
        <v>46956600</v>
      </c>
      <c r="V296" s="37">
        <f>U296-P296</f>
        <v>0</v>
      </c>
      <c r="W296" s="37"/>
      <c r="X296" s="37"/>
      <c r="Y296" s="37">
        <v>3576224.6</v>
      </c>
      <c r="Z296" s="88">
        <f>+Y296/P296*100</f>
        <v>7.616021177001741</v>
      </c>
      <c r="AA296" s="88"/>
      <c r="AB296" s="37">
        <v>7256074.7</v>
      </c>
      <c r="AC296" s="88">
        <f t="shared" si="87"/>
        <v>15.452725921382724</v>
      </c>
      <c r="AD296" s="37">
        <v>14634585.2</v>
      </c>
      <c r="AE296" s="88">
        <f t="shared" si="88"/>
        <v>31.166194315602063</v>
      </c>
      <c r="AF296" s="88"/>
      <c r="AG296" s="37">
        <v>47831400</v>
      </c>
      <c r="AH296" s="88">
        <v>18300733.1</v>
      </c>
      <c r="AI296" s="39">
        <f>+AH296/AG296*100</f>
        <v>38.26091876884223</v>
      </c>
      <c r="AJ296" s="88">
        <v>22049895.3</v>
      </c>
      <c r="AK296" s="39">
        <f t="shared" si="86"/>
        <v>46.099205333734744</v>
      </c>
    </row>
    <row r="297" spans="1:37" s="36" customFormat="1" ht="11.25">
      <c r="A297" s="8">
        <v>4012</v>
      </c>
      <c r="C297" s="36" t="s">
        <v>450</v>
      </c>
      <c r="D297" s="37"/>
      <c r="E297" s="37"/>
      <c r="F297" s="37"/>
      <c r="G297" s="37"/>
      <c r="H297" s="37"/>
      <c r="I297" s="37"/>
      <c r="J297" s="37"/>
      <c r="K297" s="37"/>
      <c r="L297" s="37">
        <f>'[1]odhodki-post-konti (2)'!S1397</f>
        <v>376800</v>
      </c>
      <c r="M297" s="37"/>
      <c r="N297" s="37">
        <v>369108.4</v>
      </c>
      <c r="O297" s="39">
        <f>N297/L297*100</f>
        <v>97.95870488322718</v>
      </c>
      <c r="P297" s="37">
        <f>'[1]odhodki-post-konti'!T1410</f>
        <v>409000</v>
      </c>
      <c r="Q297" s="39"/>
      <c r="R297" s="39">
        <f>P297/L297*100</f>
        <v>108.5456475583864</v>
      </c>
      <c r="S297" s="39">
        <f>P297/N297*100</f>
        <v>110.80755680445094</v>
      </c>
      <c r="T297" s="37">
        <f>'[1]odhodki-post-konti'!T1410</f>
        <v>409000</v>
      </c>
      <c r="U297" s="37">
        <f>'[1]odhodki-post-konti'!T1410</f>
        <v>409000</v>
      </c>
      <c r="V297" s="37">
        <f>U297-P297</f>
        <v>0</v>
      </c>
      <c r="W297" s="37"/>
      <c r="X297" s="37"/>
      <c r="Y297" s="37">
        <v>31140.7</v>
      </c>
      <c r="Z297" s="88">
        <f>+Y297/P297*100</f>
        <v>7.613863080684596</v>
      </c>
      <c r="AA297" s="88"/>
      <c r="AB297" s="37">
        <v>63188.3</v>
      </c>
      <c r="AC297" s="88">
        <f t="shared" si="87"/>
        <v>15.449462102689488</v>
      </c>
      <c r="AD297" s="37">
        <v>127442.4</v>
      </c>
      <c r="AE297" s="88">
        <f t="shared" si="88"/>
        <v>31.159511002444983</v>
      </c>
      <c r="AF297" s="88"/>
      <c r="AG297" s="37">
        <v>416600</v>
      </c>
      <c r="AH297" s="88">
        <v>159449.6</v>
      </c>
      <c r="AI297" s="39">
        <f>+AH297/AG297*100</f>
        <v>38.27402784445512</v>
      </c>
      <c r="AJ297" s="88">
        <v>192015.9</v>
      </c>
      <c r="AK297" s="39">
        <f t="shared" si="86"/>
        <v>46.09119059049448</v>
      </c>
    </row>
    <row r="298" spans="1:37" s="36" customFormat="1" ht="11.25">
      <c r="A298" s="8">
        <v>4013</v>
      </c>
      <c r="C298" s="36" t="s">
        <v>451</v>
      </c>
      <c r="D298" s="37"/>
      <c r="E298" s="37"/>
      <c r="F298" s="37"/>
      <c r="G298" s="37"/>
      <c r="H298" s="37"/>
      <c r="I298" s="37"/>
      <c r="J298" s="37"/>
      <c r="K298" s="37"/>
      <c r="L298" s="37">
        <f>'[1]odhodki-post-konti (2)'!T1397</f>
        <v>627900</v>
      </c>
      <c r="M298" s="37"/>
      <c r="N298" s="37">
        <v>615172.5</v>
      </c>
      <c r="O298" s="39">
        <f>N298/L298*100</f>
        <v>97.97300525561396</v>
      </c>
      <c r="P298" s="37">
        <f>'[1]odhodki-post-konti'!U1410</f>
        <v>681700</v>
      </c>
      <c r="Q298" s="39"/>
      <c r="R298" s="39">
        <f>P298/L298*100</f>
        <v>108.56824335085204</v>
      </c>
      <c r="S298" s="39">
        <f>P298/N298*100</f>
        <v>110.81444635447781</v>
      </c>
      <c r="T298" s="37">
        <f>'[1]odhodki-post-konti'!U1410</f>
        <v>681700</v>
      </c>
      <c r="U298" s="37">
        <f>'[1]odhodki-post-konti'!U1410</f>
        <v>681700</v>
      </c>
      <c r="V298" s="37">
        <f>U298-P298</f>
        <v>0</v>
      </c>
      <c r="W298" s="37"/>
      <c r="X298" s="37"/>
      <c r="Y298" s="37">
        <v>51900.3</v>
      </c>
      <c r="Z298" s="88">
        <f>+Y298/P298*100</f>
        <v>7.613363649699282</v>
      </c>
      <c r="AA298" s="88"/>
      <c r="AB298" s="37">
        <v>105309.5</v>
      </c>
      <c r="AC298" s="88">
        <f t="shared" si="87"/>
        <v>15.448070998973154</v>
      </c>
      <c r="AD298" s="37">
        <v>212401.6</v>
      </c>
      <c r="AE298" s="88">
        <f t="shared" si="88"/>
        <v>31.157635323456066</v>
      </c>
      <c r="AF298" s="88"/>
      <c r="AG298" s="37">
        <v>694400</v>
      </c>
      <c r="AH298" s="88">
        <v>265611</v>
      </c>
      <c r="AI298" s="39">
        <f>+AH298/AG298*100</f>
        <v>38.25043202764977</v>
      </c>
      <c r="AJ298" s="88">
        <v>320025.9</v>
      </c>
      <c r="AK298" s="39">
        <f t="shared" si="86"/>
        <v>46.08667914746544</v>
      </c>
    </row>
    <row r="299" spans="1:37" ht="12.75">
      <c r="A299" s="28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6"/>
      <c r="P299" s="25"/>
      <c r="Q299" s="26"/>
      <c r="R299" s="26"/>
      <c r="S299" s="26"/>
      <c r="T299" s="25"/>
      <c r="U299" s="25"/>
      <c r="V299" s="25"/>
      <c r="W299" s="25"/>
      <c r="X299" s="25"/>
      <c r="Y299" s="25"/>
      <c r="Z299" s="94"/>
      <c r="AA299" s="89"/>
      <c r="AB299" s="25"/>
      <c r="AC299" s="94"/>
      <c r="AD299" s="25"/>
      <c r="AE299" s="94"/>
      <c r="AF299" s="94"/>
      <c r="AH299" s="89"/>
      <c r="AI299" s="26"/>
      <c r="AJ299" s="89"/>
      <c r="AK299" s="26"/>
    </row>
    <row r="300" spans="1:37" s="31" customFormat="1" ht="12.75">
      <c r="A300" s="30">
        <v>402</v>
      </c>
      <c r="C300" s="31" t="s">
        <v>452</v>
      </c>
      <c r="D300" s="32">
        <f>SUM(D301:D309)</f>
        <v>0</v>
      </c>
      <c r="E300" s="32">
        <f>SUM(E301:E309)</f>
        <v>0</v>
      </c>
      <c r="F300" s="32"/>
      <c r="G300" s="32">
        <f>SUM(G301:G309)</f>
        <v>0</v>
      </c>
      <c r="H300" s="32">
        <f>SUM(H301:H309)</f>
        <v>0</v>
      </c>
      <c r="I300" s="32"/>
      <c r="J300" s="32">
        <f>SUM(J301:J309)</f>
        <v>0</v>
      </c>
      <c r="K300" s="32">
        <f>SUM(K301:K309)</f>
        <v>0</v>
      </c>
      <c r="L300" s="32">
        <f>SUM(L301:L309)</f>
        <v>983577246</v>
      </c>
      <c r="M300" s="32"/>
      <c r="N300" s="32">
        <f>SUM(N301:N309)</f>
        <v>990438418.13</v>
      </c>
      <c r="O300" s="34">
        <f aca="true" t="shared" si="98" ref="O300:O309">N300/L300*100</f>
        <v>100.69757328749753</v>
      </c>
      <c r="P300" s="32">
        <f>SUM(P301:P309)</f>
        <v>1008152600</v>
      </c>
      <c r="Q300" s="32">
        <f aca="true" t="shared" si="99" ref="Q300:AE300">SUM(Q301:Q309)</f>
        <v>0</v>
      </c>
      <c r="R300" s="32">
        <f t="shared" si="99"/>
        <v>955.3812190768358</v>
      </c>
      <c r="S300" s="32">
        <f t="shared" si="99"/>
        <v>1078.7087678496607</v>
      </c>
      <c r="T300" s="32">
        <f t="shared" si="99"/>
        <v>1008152600</v>
      </c>
      <c r="U300" s="32">
        <f t="shared" si="99"/>
        <v>1008152600</v>
      </c>
      <c r="V300" s="32">
        <f t="shared" si="99"/>
        <v>0</v>
      </c>
      <c r="W300" s="32">
        <f t="shared" si="99"/>
        <v>0</v>
      </c>
      <c r="X300" s="32">
        <f t="shared" si="99"/>
        <v>0</v>
      </c>
      <c r="Y300" s="32">
        <f t="shared" si="99"/>
        <v>91588772.21000001</v>
      </c>
      <c r="Z300" s="32">
        <f t="shared" si="99"/>
        <v>82.2435025247068</v>
      </c>
      <c r="AA300" s="32">
        <f t="shared" si="99"/>
        <v>0</v>
      </c>
      <c r="AB300" s="32">
        <f t="shared" si="99"/>
        <v>164113789.88</v>
      </c>
      <c r="AC300" s="32">
        <f t="shared" si="99"/>
        <v>149.31561933648518</v>
      </c>
      <c r="AD300" s="32">
        <f t="shared" si="99"/>
        <v>327148314.62</v>
      </c>
      <c r="AE300" s="32">
        <f t="shared" si="99"/>
        <v>312.95643001986224</v>
      </c>
      <c r="AF300" s="32"/>
      <c r="AG300" s="32">
        <f>SUM(AG301:AG309)</f>
        <v>1103233700</v>
      </c>
      <c r="AH300" s="87">
        <f>SUM(AH301:AH309)</f>
        <v>398694519.9</v>
      </c>
      <c r="AI300" s="34">
        <f aca="true" t="shared" si="100" ref="AI300:AI309">+AH300/AG300*100</f>
        <v>36.13871837852668</v>
      </c>
      <c r="AJ300" s="87">
        <f>SUM(AJ301:AJ309)</f>
        <v>493845218.52000004</v>
      </c>
      <c r="AK300" s="34">
        <f t="shared" si="86"/>
        <v>44.76342759652828</v>
      </c>
    </row>
    <row r="301" spans="1:37" s="36" customFormat="1" ht="11.25">
      <c r="A301" s="8">
        <v>4020</v>
      </c>
      <c r="C301" s="36" t="s">
        <v>453</v>
      </c>
      <c r="D301" s="37"/>
      <c r="E301" s="37"/>
      <c r="F301" s="37"/>
      <c r="G301" s="37"/>
      <c r="H301" s="37"/>
      <c r="I301" s="37"/>
      <c r="J301" s="37"/>
      <c r="K301" s="37"/>
      <c r="L301" s="37">
        <f>'[1]odhodki-post-konti (2)'!U1397</f>
        <v>289975696</v>
      </c>
      <c r="M301" s="37"/>
      <c r="N301" s="37">
        <v>248380484.59</v>
      </c>
      <c r="O301" s="39">
        <f t="shared" si="98"/>
        <v>85.65562149387857</v>
      </c>
      <c r="P301" s="37">
        <f>'[1]odhodki-post-konti'!V1410</f>
        <v>290095700</v>
      </c>
      <c r="Q301" s="39"/>
      <c r="R301" s="39">
        <f aca="true" t="shared" si="101" ref="R301:R309">P301/L301*100</f>
        <v>100.04138415793302</v>
      </c>
      <c r="S301" s="39">
        <f aca="true" t="shared" si="102" ref="S301:S309">P301/N301*100</f>
        <v>116.79488446077357</v>
      </c>
      <c r="T301" s="37">
        <f>'[1]odhodki-post-konti'!V1410</f>
        <v>290095700</v>
      </c>
      <c r="U301" s="37">
        <f>'[1]odhodki-post-konti'!V1410</f>
        <v>290095700</v>
      </c>
      <c r="V301" s="37">
        <f aca="true" t="shared" si="103" ref="V301:V309">U301-P301</f>
        <v>0</v>
      </c>
      <c r="W301" s="37"/>
      <c r="X301" s="37"/>
      <c r="Y301" s="37">
        <v>23987999.64</v>
      </c>
      <c r="Z301" s="88">
        <f aca="true" t="shared" si="104" ref="Z301:Z309">+Y301/P301*100</f>
        <v>8.268995245362134</v>
      </c>
      <c r="AA301" s="88"/>
      <c r="AB301" s="37">
        <v>42180160.16</v>
      </c>
      <c r="AC301" s="88">
        <f t="shared" si="87"/>
        <v>14.540084585879761</v>
      </c>
      <c r="AD301" s="37">
        <v>85732125.28</v>
      </c>
      <c r="AE301" s="88">
        <f t="shared" si="88"/>
        <v>29.553049314415897</v>
      </c>
      <c r="AF301" s="88"/>
      <c r="AG301" s="37">
        <v>313569900</v>
      </c>
      <c r="AH301" s="88">
        <v>98936990.57</v>
      </c>
      <c r="AI301" s="39">
        <f t="shared" si="100"/>
        <v>31.55181366897779</v>
      </c>
      <c r="AJ301" s="88">
        <v>119614795.93</v>
      </c>
      <c r="AK301" s="39">
        <f t="shared" si="86"/>
        <v>38.14613453969912</v>
      </c>
    </row>
    <row r="302" spans="1:37" s="36" customFormat="1" ht="11.25">
      <c r="A302" s="8">
        <v>4021</v>
      </c>
      <c r="C302" s="36" t="s">
        <v>454</v>
      </c>
      <c r="D302" s="37"/>
      <c r="E302" s="37"/>
      <c r="F302" s="37"/>
      <c r="G302" s="37"/>
      <c r="H302" s="37"/>
      <c r="I302" s="37"/>
      <c r="J302" s="37"/>
      <c r="K302" s="37"/>
      <c r="L302" s="37">
        <f>'[1]odhodki-post-konti (2)'!V1397</f>
        <v>8121200</v>
      </c>
      <c r="M302" s="37"/>
      <c r="N302" s="37">
        <v>7606329.56</v>
      </c>
      <c r="O302" s="39">
        <f t="shared" si="98"/>
        <v>93.66016795547456</v>
      </c>
      <c r="P302" s="37">
        <f>'[1]odhodki-post-konti'!W1410</f>
        <v>9921200</v>
      </c>
      <c r="Q302" s="39"/>
      <c r="R302" s="39">
        <f t="shared" si="101"/>
        <v>122.16421218539134</v>
      </c>
      <c r="S302" s="39">
        <f t="shared" si="102"/>
        <v>130.4334754593515</v>
      </c>
      <c r="T302" s="37">
        <f>'[1]odhodki-post-konti'!W1410</f>
        <v>9921200</v>
      </c>
      <c r="U302" s="37">
        <f>'[1]odhodki-post-konti'!W1410</f>
        <v>9921200</v>
      </c>
      <c r="V302" s="37">
        <f t="shared" si="103"/>
        <v>0</v>
      </c>
      <c r="W302" s="37"/>
      <c r="X302" s="37"/>
      <c r="Y302" s="37">
        <v>271764.85</v>
      </c>
      <c r="Z302" s="88">
        <f t="shared" si="104"/>
        <v>2.7392336612506547</v>
      </c>
      <c r="AA302" s="88"/>
      <c r="AB302" s="37">
        <v>323088.75</v>
      </c>
      <c r="AC302" s="88">
        <f t="shared" si="87"/>
        <v>3.256549106962867</v>
      </c>
      <c r="AD302" s="37">
        <v>1635485.76</v>
      </c>
      <c r="AE302" s="88">
        <f t="shared" si="88"/>
        <v>16.484757489013425</v>
      </c>
      <c r="AF302" s="88"/>
      <c r="AG302" s="37">
        <v>12921200</v>
      </c>
      <c r="AH302" s="88">
        <v>1718674.2</v>
      </c>
      <c r="AI302" s="39">
        <f t="shared" si="100"/>
        <v>13.301196483298764</v>
      </c>
      <c r="AJ302" s="88">
        <v>1843196.5</v>
      </c>
      <c r="AK302" s="39">
        <f t="shared" si="86"/>
        <v>14.264901866699686</v>
      </c>
    </row>
    <row r="303" spans="1:37" s="36" customFormat="1" ht="11.25">
      <c r="A303" s="8">
        <v>4022</v>
      </c>
      <c r="C303" s="36" t="s">
        <v>455</v>
      </c>
      <c r="D303" s="37"/>
      <c r="E303" s="37"/>
      <c r="F303" s="37"/>
      <c r="G303" s="37"/>
      <c r="H303" s="37"/>
      <c r="I303" s="37"/>
      <c r="J303" s="37"/>
      <c r="K303" s="37"/>
      <c r="L303" s="37">
        <f>'[1]odhodki-post-konti (2)'!W1397</f>
        <v>95108400</v>
      </c>
      <c r="M303" s="37"/>
      <c r="N303" s="37">
        <v>248362406.89</v>
      </c>
      <c r="O303" s="39">
        <f t="shared" si="98"/>
        <v>261.1361424332656</v>
      </c>
      <c r="P303" s="37">
        <f>'[1]odhodki-post-konti'!X1410</f>
        <v>96762300</v>
      </c>
      <c r="Q303" s="39"/>
      <c r="R303" s="39">
        <f t="shared" si="101"/>
        <v>101.73896311997679</v>
      </c>
      <c r="S303" s="39">
        <f t="shared" si="102"/>
        <v>38.960123318041504</v>
      </c>
      <c r="T303" s="37">
        <f>'[1]odhodki-post-konti'!X1410</f>
        <v>96762300</v>
      </c>
      <c r="U303" s="37">
        <f>'[1]odhodki-post-konti'!X1410</f>
        <v>96762300</v>
      </c>
      <c r="V303" s="37">
        <f t="shared" si="103"/>
        <v>0</v>
      </c>
      <c r="W303" s="37"/>
      <c r="X303" s="37"/>
      <c r="Y303" s="37">
        <v>29062546.03</v>
      </c>
      <c r="Z303" s="88">
        <f t="shared" si="104"/>
        <v>30.03498886446478</v>
      </c>
      <c r="AA303" s="88"/>
      <c r="AB303" s="37">
        <v>61382268.85</v>
      </c>
      <c r="AC303" s="88">
        <f t="shared" si="87"/>
        <v>63.4361407800352</v>
      </c>
      <c r="AD303" s="37">
        <v>112472649.98</v>
      </c>
      <c r="AE303" s="88">
        <f t="shared" si="88"/>
        <v>116.23602371998186</v>
      </c>
      <c r="AF303" s="88"/>
      <c r="AG303" s="37">
        <v>97212300</v>
      </c>
      <c r="AH303" s="88">
        <v>130765664.69</v>
      </c>
      <c r="AI303" s="39">
        <f t="shared" si="100"/>
        <v>134.5155548114796</v>
      </c>
      <c r="AJ303" s="88">
        <v>149625652.3</v>
      </c>
      <c r="AK303" s="39">
        <f t="shared" si="86"/>
        <v>153.91637920304325</v>
      </c>
    </row>
    <row r="304" spans="1:37" s="36" customFormat="1" ht="11.25">
      <c r="A304" s="8">
        <v>4023</v>
      </c>
      <c r="C304" s="36" t="s">
        <v>456</v>
      </c>
      <c r="D304" s="37"/>
      <c r="E304" s="37"/>
      <c r="F304" s="37"/>
      <c r="G304" s="37"/>
      <c r="H304" s="37"/>
      <c r="I304" s="37"/>
      <c r="J304" s="37"/>
      <c r="K304" s="37"/>
      <c r="L304" s="37">
        <f>'[1]odhodki-post-konti (2)'!X1397</f>
        <v>12150000</v>
      </c>
      <c r="M304" s="37"/>
      <c r="N304" s="37">
        <v>13225518.99</v>
      </c>
      <c r="O304" s="39">
        <f t="shared" si="98"/>
        <v>108.85200814814814</v>
      </c>
      <c r="P304" s="37">
        <f>'[1]odhodki-post-konti'!Y1410</f>
        <v>12150000</v>
      </c>
      <c r="Q304" s="39"/>
      <c r="R304" s="39">
        <f t="shared" si="101"/>
        <v>100</v>
      </c>
      <c r="S304" s="39">
        <f t="shared" si="102"/>
        <v>91.86785039730225</v>
      </c>
      <c r="T304" s="37">
        <f>'[1]odhodki-post-konti'!Y1410</f>
        <v>12150000</v>
      </c>
      <c r="U304" s="37">
        <f>'[1]odhodki-post-konti'!Y1410</f>
        <v>12150000</v>
      </c>
      <c r="V304" s="37">
        <f t="shared" si="103"/>
        <v>0</v>
      </c>
      <c r="W304" s="37"/>
      <c r="X304" s="37"/>
      <c r="Y304" s="37">
        <v>1582529.85</v>
      </c>
      <c r="Z304" s="88">
        <f t="shared" si="104"/>
        <v>13.024937037037038</v>
      </c>
      <c r="AA304" s="88"/>
      <c r="AB304" s="37">
        <v>2285307.18</v>
      </c>
      <c r="AC304" s="88">
        <f t="shared" si="87"/>
        <v>18.809112592592594</v>
      </c>
      <c r="AD304" s="37">
        <v>4988511.54</v>
      </c>
      <c r="AE304" s="88">
        <f t="shared" si="88"/>
        <v>41.057708148148144</v>
      </c>
      <c r="AF304" s="88"/>
      <c r="AG304" s="37">
        <v>12600000</v>
      </c>
      <c r="AH304" s="88">
        <v>6355250.41</v>
      </c>
      <c r="AI304" s="39">
        <f t="shared" si="100"/>
        <v>50.43849531746032</v>
      </c>
      <c r="AJ304" s="88">
        <v>7950875.93</v>
      </c>
      <c r="AK304" s="39">
        <f t="shared" si="86"/>
        <v>63.10218992063492</v>
      </c>
    </row>
    <row r="305" spans="1:37" s="36" customFormat="1" ht="11.25">
      <c r="A305" s="8">
        <v>4024</v>
      </c>
      <c r="C305" s="36" t="s">
        <v>457</v>
      </c>
      <c r="D305" s="37"/>
      <c r="E305" s="37"/>
      <c r="F305" s="37"/>
      <c r="G305" s="37"/>
      <c r="H305" s="37"/>
      <c r="I305" s="37"/>
      <c r="J305" s="37"/>
      <c r="K305" s="37"/>
      <c r="L305" s="37">
        <f>'[1]odhodki-post-konti (2)'!Y1397</f>
        <v>14923000</v>
      </c>
      <c r="M305" s="37"/>
      <c r="N305" s="37">
        <v>8241755.77</v>
      </c>
      <c r="O305" s="39">
        <f t="shared" si="98"/>
        <v>55.22854499765463</v>
      </c>
      <c r="P305" s="37">
        <f>'[1]odhodki-post-konti'!Z1410</f>
        <v>16291000</v>
      </c>
      <c r="Q305" s="39"/>
      <c r="R305" s="39">
        <f t="shared" si="101"/>
        <v>109.1670575621524</v>
      </c>
      <c r="S305" s="39">
        <f t="shared" si="102"/>
        <v>197.66419261414248</v>
      </c>
      <c r="T305" s="37">
        <f>'[1]odhodki-post-konti'!Z1410</f>
        <v>16291000</v>
      </c>
      <c r="U305" s="37">
        <f>'[1]odhodki-post-konti'!Z1410</f>
        <v>16291000</v>
      </c>
      <c r="V305" s="37">
        <f t="shared" si="103"/>
        <v>0</v>
      </c>
      <c r="W305" s="37"/>
      <c r="X305" s="37"/>
      <c r="Y305" s="37">
        <v>221151.8</v>
      </c>
      <c r="Z305" s="88">
        <f t="shared" si="104"/>
        <v>1.3575090540789392</v>
      </c>
      <c r="AA305" s="88"/>
      <c r="AB305" s="37">
        <v>851516.9</v>
      </c>
      <c r="AC305" s="88">
        <f t="shared" si="87"/>
        <v>5.226916088637899</v>
      </c>
      <c r="AD305" s="37">
        <v>2941363.03</v>
      </c>
      <c r="AE305" s="88">
        <f t="shared" si="88"/>
        <v>18.055141059480697</v>
      </c>
      <c r="AF305" s="88"/>
      <c r="AG305" s="37">
        <v>16191000</v>
      </c>
      <c r="AH305" s="88">
        <v>4495955.18</v>
      </c>
      <c r="AI305" s="39">
        <f t="shared" si="100"/>
        <v>27.7682365511704</v>
      </c>
      <c r="AJ305" s="88">
        <v>5583695.28</v>
      </c>
      <c r="AK305" s="39">
        <f t="shared" si="86"/>
        <v>34.48641393366685</v>
      </c>
    </row>
    <row r="306" spans="1:37" s="36" customFormat="1" ht="11.25">
      <c r="A306" s="8">
        <v>4025</v>
      </c>
      <c r="C306" s="36" t="s">
        <v>458</v>
      </c>
      <c r="D306" s="37"/>
      <c r="E306" s="37"/>
      <c r="F306" s="37"/>
      <c r="G306" s="37"/>
      <c r="H306" s="37"/>
      <c r="I306" s="37"/>
      <c r="J306" s="37"/>
      <c r="K306" s="37"/>
      <c r="L306" s="37">
        <f>'[1]odhodki-post-konti (2)'!Z1397</f>
        <v>87662900</v>
      </c>
      <c r="M306" s="37"/>
      <c r="N306" s="37">
        <v>79282389.93</v>
      </c>
      <c r="O306" s="39">
        <f t="shared" si="98"/>
        <v>90.44007206013035</v>
      </c>
      <c r="P306" s="37">
        <f>'[1]odhodki-post-konti'!AA1410</f>
        <v>102819000</v>
      </c>
      <c r="Q306" s="39"/>
      <c r="R306" s="39">
        <f t="shared" si="101"/>
        <v>117.28906983455943</v>
      </c>
      <c r="S306" s="39">
        <f t="shared" si="102"/>
        <v>129.68705924579334</v>
      </c>
      <c r="T306" s="37">
        <f>'[1]odhodki-post-konti'!AA1410</f>
        <v>102819000</v>
      </c>
      <c r="U306" s="37">
        <f>'[1]odhodki-post-konti'!AA1410</f>
        <v>102819000</v>
      </c>
      <c r="V306" s="37">
        <f t="shared" si="103"/>
        <v>0</v>
      </c>
      <c r="W306" s="37"/>
      <c r="X306" s="37"/>
      <c r="Y306" s="37">
        <v>9508336.35</v>
      </c>
      <c r="Z306" s="88">
        <f t="shared" si="104"/>
        <v>9.247645230939806</v>
      </c>
      <c r="AA306" s="88"/>
      <c r="AB306" s="37">
        <v>12484918.96</v>
      </c>
      <c r="AC306" s="88">
        <f t="shared" si="87"/>
        <v>12.14261854326535</v>
      </c>
      <c r="AD306" s="37">
        <v>23906431.96</v>
      </c>
      <c r="AE306" s="88">
        <f t="shared" si="88"/>
        <v>23.250986646436942</v>
      </c>
      <c r="AF306" s="88"/>
      <c r="AG306" s="37">
        <v>102943000</v>
      </c>
      <c r="AH306" s="88">
        <v>31052755.87</v>
      </c>
      <c r="AI306" s="39">
        <f t="shared" si="100"/>
        <v>30.164999922287095</v>
      </c>
      <c r="AJ306" s="88">
        <v>36403125.03</v>
      </c>
      <c r="AK306" s="39">
        <f t="shared" si="86"/>
        <v>35.36240932360627</v>
      </c>
    </row>
    <row r="307" spans="1:37" s="36" customFormat="1" ht="11.25">
      <c r="A307" s="8">
        <v>4026</v>
      </c>
      <c r="C307" s="36" t="s">
        <v>459</v>
      </c>
      <c r="D307" s="37"/>
      <c r="E307" s="37"/>
      <c r="F307" s="37"/>
      <c r="G307" s="37"/>
      <c r="H307" s="37"/>
      <c r="I307" s="37"/>
      <c r="J307" s="37"/>
      <c r="K307" s="37"/>
      <c r="L307" s="37">
        <f>'[1]odhodki-post-konti (2)'!AA1397</f>
        <v>54877400</v>
      </c>
      <c r="M307" s="37"/>
      <c r="N307" s="37">
        <v>61558035.47</v>
      </c>
      <c r="O307" s="39">
        <f t="shared" si="98"/>
        <v>112.17374633273442</v>
      </c>
      <c r="P307" s="37">
        <f>'[1]odhodki-post-konti'!AB1410</f>
        <v>54600000</v>
      </c>
      <c r="Q307" s="39"/>
      <c r="R307" s="39">
        <f t="shared" si="101"/>
        <v>99.49450957953547</v>
      </c>
      <c r="S307" s="39">
        <f t="shared" si="102"/>
        <v>88.69678764620265</v>
      </c>
      <c r="T307" s="37">
        <f>'[1]odhodki-post-konti'!AB1410</f>
        <v>54600000</v>
      </c>
      <c r="U307" s="37">
        <f>'[1]odhodki-post-konti'!AB1410</f>
        <v>54600000</v>
      </c>
      <c r="V307" s="37">
        <f t="shared" si="103"/>
        <v>0</v>
      </c>
      <c r="W307" s="37"/>
      <c r="X307" s="37"/>
      <c r="Y307" s="37">
        <v>4522107.24</v>
      </c>
      <c r="Z307" s="88">
        <f t="shared" si="104"/>
        <v>8.282247692307692</v>
      </c>
      <c r="AA307" s="88"/>
      <c r="AB307" s="37">
        <v>9236912.2</v>
      </c>
      <c r="AC307" s="88">
        <f t="shared" si="87"/>
        <v>16.91742161172161</v>
      </c>
      <c r="AD307" s="37">
        <v>20104577.29</v>
      </c>
      <c r="AE307" s="88">
        <f t="shared" si="88"/>
        <v>36.821570128205124</v>
      </c>
      <c r="AF307" s="88"/>
      <c r="AG307" s="37">
        <v>56500000</v>
      </c>
      <c r="AH307" s="88">
        <v>24349474.55</v>
      </c>
      <c r="AI307" s="39">
        <f t="shared" si="100"/>
        <v>43.09641513274337</v>
      </c>
      <c r="AJ307" s="88">
        <v>32032238.62</v>
      </c>
      <c r="AK307" s="39">
        <f t="shared" si="86"/>
        <v>56.6942276460177</v>
      </c>
    </row>
    <row r="308" spans="1:37" s="36" customFormat="1" ht="11.25">
      <c r="A308" s="8">
        <v>4027</v>
      </c>
      <c r="C308" s="36" t="s">
        <v>460</v>
      </c>
      <c r="D308" s="37"/>
      <c r="E308" s="37"/>
      <c r="F308" s="37"/>
      <c r="G308" s="37"/>
      <c r="H308" s="37"/>
      <c r="I308" s="37"/>
      <c r="J308" s="37"/>
      <c r="K308" s="37"/>
      <c r="L308" s="37">
        <f>'[1]odhodki-post-konti (2)'!AB1397</f>
        <v>163783000</v>
      </c>
      <c r="M308" s="37"/>
      <c r="N308" s="37">
        <v>104245553.31</v>
      </c>
      <c r="O308" s="39">
        <f t="shared" si="98"/>
        <v>63.648579712180144</v>
      </c>
      <c r="P308" s="37">
        <f>'[1]odhodki-post-konti'!AC1410</f>
        <v>180203000</v>
      </c>
      <c r="Q308" s="39"/>
      <c r="R308" s="39">
        <f t="shared" si="101"/>
        <v>110.02546051788036</v>
      </c>
      <c r="S308" s="39">
        <f t="shared" si="102"/>
        <v>172.8639680813259</v>
      </c>
      <c r="T308" s="37">
        <f>'[1]odhodki-post-konti'!AC1410</f>
        <v>180203000</v>
      </c>
      <c r="U308" s="37">
        <f>'[1]odhodki-post-konti'!AC1410</f>
        <v>180203000</v>
      </c>
      <c r="V308" s="37">
        <f t="shared" si="103"/>
        <v>0</v>
      </c>
      <c r="W308" s="37"/>
      <c r="X308" s="37"/>
      <c r="Y308" s="37">
        <v>974149.16</v>
      </c>
      <c r="Z308" s="88">
        <f t="shared" si="104"/>
        <v>0.5405843187960245</v>
      </c>
      <c r="AA308" s="88"/>
      <c r="AB308" s="37">
        <v>3859679.32</v>
      </c>
      <c r="AC308" s="88">
        <f t="shared" si="87"/>
        <v>2.1418507572016003</v>
      </c>
      <c r="AD308" s="37">
        <v>5255244.9</v>
      </c>
      <c r="AE308" s="88">
        <f t="shared" si="88"/>
        <v>2.9162915711725113</v>
      </c>
      <c r="AF308" s="88"/>
      <c r="AG308" s="37">
        <v>225203000</v>
      </c>
      <c r="AH308" s="88">
        <v>12318902.76</v>
      </c>
      <c r="AI308" s="39">
        <f t="shared" si="100"/>
        <v>5.470132618126756</v>
      </c>
      <c r="AJ308" s="88">
        <v>32008399.62</v>
      </c>
      <c r="AK308" s="39">
        <f t="shared" si="86"/>
        <v>14.213131983144098</v>
      </c>
    </row>
    <row r="309" spans="1:37" s="36" customFormat="1" ht="11.25">
      <c r="A309" s="8">
        <v>4029</v>
      </c>
      <c r="C309" s="36" t="s">
        <v>461</v>
      </c>
      <c r="D309" s="37"/>
      <c r="E309" s="37"/>
      <c r="F309" s="37"/>
      <c r="G309" s="37"/>
      <c r="H309" s="37"/>
      <c r="I309" s="37"/>
      <c r="J309" s="37"/>
      <c r="K309" s="37"/>
      <c r="L309" s="37">
        <f>'[1]odhodki-post-konti (2)'!AC1397</f>
        <v>256975650</v>
      </c>
      <c r="M309" s="37"/>
      <c r="N309" s="37">
        <v>219535943.62</v>
      </c>
      <c r="O309" s="39">
        <f t="shared" si="98"/>
        <v>85.43064045951436</v>
      </c>
      <c r="P309" s="37">
        <f>'[1]odhodki-post-konti'!AD1410</f>
        <v>245310400</v>
      </c>
      <c r="Q309" s="39"/>
      <c r="R309" s="39">
        <f t="shared" si="101"/>
        <v>95.46056211940703</v>
      </c>
      <c r="S309" s="39">
        <f t="shared" si="102"/>
        <v>111.74042662672751</v>
      </c>
      <c r="T309" s="37">
        <f>'[1]odhodki-post-konti'!AD1410</f>
        <v>245310400</v>
      </c>
      <c r="U309" s="37">
        <f>'[1]odhodki-post-konti'!AD1410</f>
        <v>245310400</v>
      </c>
      <c r="V309" s="37">
        <f t="shared" si="103"/>
        <v>0</v>
      </c>
      <c r="W309" s="37"/>
      <c r="X309" s="37"/>
      <c r="Y309" s="37">
        <v>21458187.29</v>
      </c>
      <c r="Z309" s="88">
        <f t="shared" si="104"/>
        <v>8.747361420469739</v>
      </c>
      <c r="AA309" s="88"/>
      <c r="AB309" s="37">
        <v>31509937.56</v>
      </c>
      <c r="AC309" s="88">
        <f t="shared" si="87"/>
        <v>12.844925270188302</v>
      </c>
      <c r="AD309" s="37">
        <v>70111924.88</v>
      </c>
      <c r="AE309" s="88">
        <f t="shared" si="88"/>
        <v>28.580901943007714</v>
      </c>
      <c r="AF309" s="88"/>
      <c r="AG309" s="37">
        <v>266093300</v>
      </c>
      <c r="AH309" s="88">
        <v>88700851.67</v>
      </c>
      <c r="AI309" s="39">
        <f t="shared" si="100"/>
        <v>33.33449270237169</v>
      </c>
      <c r="AJ309" s="88">
        <v>108783239.31</v>
      </c>
      <c r="AK309" s="39">
        <f t="shared" si="86"/>
        <v>40.88161532439937</v>
      </c>
    </row>
    <row r="310" spans="1:37" ht="12.75">
      <c r="A310" s="28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6"/>
      <c r="P310" s="25"/>
      <c r="Q310" s="26"/>
      <c r="R310" s="26"/>
      <c r="S310" s="26"/>
      <c r="T310" s="25"/>
      <c r="U310" s="25"/>
      <c r="V310" s="25"/>
      <c r="W310" s="25"/>
      <c r="X310" s="25"/>
      <c r="Y310" s="25"/>
      <c r="Z310" s="94"/>
      <c r="AA310" s="89"/>
      <c r="AB310" s="25"/>
      <c r="AC310" s="94"/>
      <c r="AD310" s="25"/>
      <c r="AE310" s="94"/>
      <c r="AF310" s="94"/>
      <c r="AH310" s="89"/>
      <c r="AI310" s="26"/>
      <c r="AJ310" s="89"/>
      <c r="AK310" s="26"/>
    </row>
    <row r="311" spans="1:37" s="31" customFormat="1" ht="12.75">
      <c r="A311" s="30">
        <v>403</v>
      </c>
      <c r="C311" s="31" t="s">
        <v>462</v>
      </c>
      <c r="D311" s="32">
        <f>SUM(D312:D313)</f>
        <v>0</v>
      </c>
      <c r="E311" s="32">
        <f>SUM(E312:E313)</f>
        <v>0</v>
      </c>
      <c r="F311" s="32"/>
      <c r="G311" s="32">
        <f>SUM(G312:G313)</f>
        <v>0</v>
      </c>
      <c r="H311" s="32">
        <f>SUM(H312:H313)</f>
        <v>0</v>
      </c>
      <c r="I311" s="32"/>
      <c r="J311" s="32">
        <f>SUM(J312:J313)</f>
        <v>0</v>
      </c>
      <c r="K311" s="32">
        <f>SUM(K312:K313)</f>
        <v>0</v>
      </c>
      <c r="L311" s="32">
        <f>SUM(L312:L313)</f>
        <v>22700000</v>
      </c>
      <c r="M311" s="32"/>
      <c r="N311" s="32">
        <f>SUM(N312:N313)</f>
        <v>3476084.14</v>
      </c>
      <c r="O311" s="34">
        <f>N311/L311*100</f>
        <v>15.313145991189428</v>
      </c>
      <c r="P311" s="32">
        <f>SUM(P312:P313)</f>
        <v>23100000</v>
      </c>
      <c r="Q311" s="32">
        <f aca="true" t="shared" si="105" ref="Q311:AG311">SUM(Q312:Q313)</f>
        <v>0</v>
      </c>
      <c r="R311" s="32">
        <f t="shared" si="105"/>
        <v>182.00445434298442</v>
      </c>
      <c r="S311" s="32">
        <f t="shared" si="105"/>
        <v>1330.1561175733202</v>
      </c>
      <c r="T311" s="32">
        <f t="shared" si="105"/>
        <v>23100000</v>
      </c>
      <c r="U311" s="32">
        <f t="shared" si="105"/>
        <v>23100000</v>
      </c>
      <c r="V311" s="32">
        <f t="shared" si="105"/>
        <v>0</v>
      </c>
      <c r="W311" s="32">
        <f t="shared" si="105"/>
        <v>0</v>
      </c>
      <c r="X311" s="32">
        <f t="shared" si="105"/>
        <v>0</v>
      </c>
      <c r="Y311" s="32">
        <f t="shared" si="105"/>
        <v>34593.83</v>
      </c>
      <c r="Z311" s="32">
        <f t="shared" si="105"/>
        <v>0.15106475982532752</v>
      </c>
      <c r="AA311" s="32">
        <f t="shared" si="105"/>
        <v>0</v>
      </c>
      <c r="AB311" s="32">
        <f t="shared" si="105"/>
        <v>159781.6</v>
      </c>
      <c r="AC311" s="32">
        <f t="shared" si="105"/>
        <v>47.9309347161572</v>
      </c>
      <c r="AD311" s="32">
        <f t="shared" si="105"/>
        <v>227007.26</v>
      </c>
      <c r="AE311" s="32">
        <f t="shared" si="105"/>
        <v>48.22449655021834</v>
      </c>
      <c r="AF311" s="32"/>
      <c r="AG311" s="32">
        <f t="shared" si="105"/>
        <v>43100000</v>
      </c>
      <c r="AH311" s="87">
        <f>SUM(AH312:AH314)</f>
        <v>232098.96000000002</v>
      </c>
      <c r="AI311" s="34">
        <f>+AH311/AG311*100</f>
        <v>0.5385126682134571</v>
      </c>
      <c r="AJ311" s="87">
        <f>SUM(AJ312:AJ314)</f>
        <v>540761.6399999999</v>
      </c>
      <c r="AK311" s="34">
        <f t="shared" si="86"/>
        <v>1.2546673781902549</v>
      </c>
    </row>
    <row r="312" spans="1:37" s="36" customFormat="1" ht="11.25">
      <c r="A312" s="8">
        <v>4031</v>
      </c>
      <c r="C312" s="36" t="s">
        <v>463</v>
      </c>
      <c r="D312" s="37"/>
      <c r="E312" s="37"/>
      <c r="F312" s="37"/>
      <c r="G312" s="37"/>
      <c r="H312" s="37"/>
      <c r="I312" s="37"/>
      <c r="J312" s="37"/>
      <c r="K312" s="37"/>
      <c r="L312" s="37">
        <f>'[1]odhodki-post-konti (2)'!AD1397</f>
        <v>250000</v>
      </c>
      <c r="M312" s="37"/>
      <c r="N312" s="37">
        <v>1739470.58</v>
      </c>
      <c r="O312" s="39">
        <f>N312/L312*100</f>
        <v>695.788232</v>
      </c>
      <c r="P312" s="37">
        <f>'[1]odhodki-post-konti'!AE1410</f>
        <v>200000</v>
      </c>
      <c r="Q312" s="39"/>
      <c r="R312" s="39">
        <f>P312/L312*100</f>
        <v>80</v>
      </c>
      <c r="S312" s="39">
        <f>P312/N312*100</f>
        <v>11.49775122957239</v>
      </c>
      <c r="T312" s="37">
        <f>'[1]odhodki-post-konti'!AE1410</f>
        <v>200000</v>
      </c>
      <c r="U312" s="37">
        <f>'[1]odhodki-post-konti'!AE1410</f>
        <v>200000</v>
      </c>
      <c r="V312" s="37">
        <f>U312-P312</f>
        <v>0</v>
      </c>
      <c r="W312" s="37"/>
      <c r="X312" s="37"/>
      <c r="Y312" s="37">
        <v>0</v>
      </c>
      <c r="Z312" s="88">
        <f>+Y312/P312*100</f>
        <v>0</v>
      </c>
      <c r="AA312" s="88"/>
      <c r="AB312" s="37">
        <v>95298.7</v>
      </c>
      <c r="AC312" s="88">
        <f t="shared" si="87"/>
        <v>47.64935</v>
      </c>
      <c r="AD312" s="37">
        <v>95298.7</v>
      </c>
      <c r="AE312" s="88">
        <f t="shared" si="88"/>
        <v>47.64935</v>
      </c>
      <c r="AF312" s="88"/>
      <c r="AG312" s="37">
        <v>200000</v>
      </c>
      <c r="AH312" s="88">
        <v>95298.7</v>
      </c>
      <c r="AI312" s="39">
        <f>+AH312/AG312*100</f>
        <v>47.64935</v>
      </c>
      <c r="AJ312" s="88">
        <v>95298.7</v>
      </c>
      <c r="AK312" s="39">
        <f t="shared" si="86"/>
        <v>47.64935</v>
      </c>
    </row>
    <row r="313" spans="1:37" s="36" customFormat="1" ht="11.25">
      <c r="A313" s="8">
        <v>4033</v>
      </c>
      <c r="C313" s="36" t="s">
        <v>464</v>
      </c>
      <c r="D313" s="37"/>
      <c r="E313" s="37"/>
      <c r="F313" s="37"/>
      <c r="G313" s="37"/>
      <c r="H313" s="37"/>
      <c r="I313" s="37"/>
      <c r="J313" s="37"/>
      <c r="K313" s="37"/>
      <c r="L313" s="37">
        <f>'[1]odhodki-post-konti (2)'!AE1397</f>
        <v>22450000</v>
      </c>
      <c r="M313" s="37"/>
      <c r="N313" s="37">
        <v>1736613.56</v>
      </c>
      <c r="O313" s="39">
        <f>N313/L313*100</f>
        <v>7.735472427616926</v>
      </c>
      <c r="P313" s="37">
        <f>'[1]odhodki-post-konti'!AF1410</f>
        <v>22900000</v>
      </c>
      <c r="Q313" s="39"/>
      <c r="R313" s="39">
        <f>P313/L313*100</f>
        <v>102.00445434298442</v>
      </c>
      <c r="S313" s="39">
        <f>P313/N313*100</f>
        <v>1318.6583663437477</v>
      </c>
      <c r="T313" s="37">
        <f>'[1]odhodki-post-konti'!AF1410</f>
        <v>22900000</v>
      </c>
      <c r="U313" s="37">
        <f>'[1]odhodki-post-konti'!AF1410</f>
        <v>22900000</v>
      </c>
      <c r="V313" s="37">
        <f>U313-P313</f>
        <v>0</v>
      </c>
      <c r="W313" s="37"/>
      <c r="X313" s="37"/>
      <c r="Y313" s="37">
        <v>34593.83</v>
      </c>
      <c r="Z313" s="88">
        <f>+Y313/P313*100</f>
        <v>0.15106475982532752</v>
      </c>
      <c r="AA313" s="88"/>
      <c r="AB313" s="37">
        <v>64482.9</v>
      </c>
      <c r="AC313" s="88">
        <f t="shared" si="87"/>
        <v>0.28158471615720526</v>
      </c>
      <c r="AD313" s="37">
        <v>131708.56</v>
      </c>
      <c r="AE313" s="88">
        <f t="shared" si="88"/>
        <v>0.5751465502183406</v>
      </c>
      <c r="AF313" s="88"/>
      <c r="AG313" s="37">
        <v>42900000</v>
      </c>
      <c r="AH313" s="88">
        <v>128495.06</v>
      </c>
      <c r="AI313" s="39">
        <f>+AH313/AG313*100</f>
        <v>0.29952228438228434</v>
      </c>
      <c r="AJ313" s="88">
        <v>437157.74</v>
      </c>
      <c r="AK313" s="39">
        <f t="shared" si="86"/>
        <v>1.019015710955711</v>
      </c>
    </row>
    <row r="314" spans="1:37" s="36" customFormat="1" ht="12.75">
      <c r="A314" s="8">
        <v>4034</v>
      </c>
      <c r="C314" s="36" t="s">
        <v>597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9"/>
      <c r="P314" s="37"/>
      <c r="Q314" s="39"/>
      <c r="R314" s="39"/>
      <c r="S314" s="39"/>
      <c r="T314" s="37"/>
      <c r="U314" s="37"/>
      <c r="V314" s="37"/>
      <c r="W314" s="37"/>
      <c r="X314" s="37"/>
      <c r="Y314" s="37"/>
      <c r="Z314" s="88"/>
      <c r="AA314" s="88"/>
      <c r="AB314" s="37"/>
      <c r="AC314" s="88"/>
      <c r="AD314" s="37">
        <v>8305.2</v>
      </c>
      <c r="AE314" s="88"/>
      <c r="AF314" s="88"/>
      <c r="AG314" s="25"/>
      <c r="AH314" s="88">
        <v>8305.2</v>
      </c>
      <c r="AI314" s="39"/>
      <c r="AJ314" s="88">
        <v>8305.2</v>
      </c>
      <c r="AK314" s="39"/>
    </row>
    <row r="315" spans="1:37" ht="12.75">
      <c r="A315" s="28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6"/>
      <c r="P315" s="25"/>
      <c r="Q315" s="26"/>
      <c r="R315" s="26"/>
      <c r="S315" s="26"/>
      <c r="T315" s="25"/>
      <c r="U315" s="25"/>
      <c r="V315" s="25"/>
      <c r="W315" s="25"/>
      <c r="X315" s="25"/>
      <c r="Y315" s="25"/>
      <c r="Z315" s="94"/>
      <c r="AA315" s="89"/>
      <c r="AB315" s="25"/>
      <c r="AC315" s="94"/>
      <c r="AD315" s="25"/>
      <c r="AE315" s="94"/>
      <c r="AF315" s="94"/>
      <c r="AH315" s="89"/>
      <c r="AI315" s="26"/>
      <c r="AJ315" s="89"/>
      <c r="AK315" s="26"/>
    </row>
    <row r="316" spans="1:37" s="31" customFormat="1" ht="12.75">
      <c r="A316" s="30">
        <v>409</v>
      </c>
      <c r="C316" s="31" t="s">
        <v>465</v>
      </c>
      <c r="D316" s="32">
        <f>SUM(D317:D319)</f>
        <v>0</v>
      </c>
      <c r="E316" s="32">
        <f>SUM(E317:E319)</f>
        <v>0</v>
      </c>
      <c r="F316" s="32"/>
      <c r="G316" s="32">
        <f>SUM(G317:G319)</f>
        <v>0</v>
      </c>
      <c r="H316" s="32">
        <f>SUM(H317:H319)</f>
        <v>0</v>
      </c>
      <c r="I316" s="32"/>
      <c r="J316" s="32">
        <f>SUM(J317:J319)</f>
        <v>0</v>
      </c>
      <c r="K316" s="32">
        <f>SUM(K317:K319)</f>
        <v>0</v>
      </c>
      <c r="L316" s="32">
        <f>SUM(L317:L319)</f>
        <v>71073981</v>
      </c>
      <c r="M316" s="32"/>
      <c r="N316" s="32">
        <f>SUM(N317:N319)</f>
        <v>58651983.5</v>
      </c>
      <c r="O316" s="34">
        <f>N316/L316*100</f>
        <v>82.52244024434202</v>
      </c>
      <c r="P316" s="32">
        <f>SUM(P317:P319)</f>
        <v>48630430</v>
      </c>
      <c r="Q316" s="32">
        <f aca="true" t="shared" si="106" ref="Q316:AH316">SUM(Q317:Q319)</f>
        <v>0</v>
      </c>
      <c r="R316" s="32">
        <f t="shared" si="106"/>
        <v>291.33461750371396</v>
      </c>
      <c r="S316" s="32">
        <f t="shared" si="106"/>
        <v>44.329276604942095</v>
      </c>
      <c r="T316" s="32">
        <f t="shared" si="106"/>
        <v>48630430</v>
      </c>
      <c r="U316" s="32">
        <f t="shared" si="106"/>
        <v>48630430</v>
      </c>
      <c r="V316" s="32">
        <f t="shared" si="106"/>
        <v>0</v>
      </c>
      <c r="W316" s="32">
        <f t="shared" si="106"/>
        <v>0</v>
      </c>
      <c r="X316" s="32">
        <f t="shared" si="106"/>
        <v>0</v>
      </c>
      <c r="Y316" s="32">
        <f t="shared" si="106"/>
        <v>0</v>
      </c>
      <c r="Z316" s="32">
        <f t="shared" si="106"/>
        <v>0</v>
      </c>
      <c r="AA316" s="32">
        <f t="shared" si="106"/>
        <v>0</v>
      </c>
      <c r="AB316" s="32">
        <f t="shared" si="106"/>
        <v>70979.6</v>
      </c>
      <c r="AC316" s="32">
        <f t="shared" si="106"/>
        <v>0.3136467137389789</v>
      </c>
      <c r="AD316" s="32">
        <f t="shared" si="106"/>
        <v>70979.6</v>
      </c>
      <c r="AE316" s="32">
        <f t="shared" si="106"/>
        <v>0.3136467137389789</v>
      </c>
      <c r="AF316" s="32"/>
      <c r="AG316" s="32">
        <f t="shared" si="106"/>
        <v>48579825</v>
      </c>
      <c r="AH316" s="87">
        <f t="shared" si="106"/>
        <v>70979.6</v>
      </c>
      <c r="AI316" s="34">
        <f>+AH316/AG316*100</f>
        <v>0.1461092130323648</v>
      </c>
      <c r="AJ316" s="87">
        <f>SUM(AJ317:AJ319)</f>
        <v>10607124.94</v>
      </c>
      <c r="AK316" s="34">
        <f t="shared" si="86"/>
        <v>21.83442394039089</v>
      </c>
    </row>
    <row r="317" spans="1:37" s="36" customFormat="1" ht="11.25">
      <c r="A317" s="8">
        <v>4090</v>
      </c>
      <c r="C317" s="36" t="s">
        <v>466</v>
      </c>
      <c r="D317" s="37"/>
      <c r="E317" s="37"/>
      <c r="F317" s="37"/>
      <c r="G317" s="37"/>
      <c r="H317" s="37"/>
      <c r="I317" s="37"/>
      <c r="J317" s="37"/>
      <c r="K317" s="37"/>
      <c r="L317" s="37">
        <f>'[1]odhodki-post-konti (2)'!AF1397</f>
        <v>9073981</v>
      </c>
      <c r="M317" s="37"/>
      <c r="N317" s="37"/>
      <c r="O317" s="39"/>
      <c r="P317" s="37">
        <f>'[1]odhodki-post-konti'!AG1410</f>
        <v>22630430</v>
      </c>
      <c r="Q317" s="39"/>
      <c r="R317" s="39">
        <f>P317/L317*100</f>
        <v>249.3991336327462</v>
      </c>
      <c r="S317" s="39"/>
      <c r="T317" s="37">
        <f>'[1]odhodki-post-konti'!AG1410</f>
        <v>22630430</v>
      </c>
      <c r="U317" s="37">
        <f>'[1]odhodki-post-konti'!AG1410</f>
        <v>22630430</v>
      </c>
      <c r="V317" s="37">
        <f>U317-P317</f>
        <v>0</v>
      </c>
      <c r="W317" s="37"/>
      <c r="X317" s="37"/>
      <c r="Y317" s="37">
        <v>0</v>
      </c>
      <c r="Z317" s="88">
        <f>+Y317/P317*100</f>
        <v>0</v>
      </c>
      <c r="AA317" s="88"/>
      <c r="AB317" s="37">
        <v>70979.6</v>
      </c>
      <c r="AC317" s="88">
        <f t="shared" si="87"/>
        <v>0.3136467137389789</v>
      </c>
      <c r="AD317" s="37">
        <v>70979.6</v>
      </c>
      <c r="AE317" s="88">
        <f t="shared" si="88"/>
        <v>0.3136467137389789</v>
      </c>
      <c r="AF317" s="88"/>
      <c r="AG317" s="37">
        <v>22579825</v>
      </c>
      <c r="AH317" s="88">
        <v>70979.6</v>
      </c>
      <c r="AI317" s="39">
        <f>+AH317/AG317*100</f>
        <v>0.3143496461996495</v>
      </c>
      <c r="AJ317" s="88">
        <v>800401.4</v>
      </c>
      <c r="AK317" s="39">
        <f t="shared" si="86"/>
        <v>3.5447635223036498</v>
      </c>
    </row>
    <row r="318" spans="1:37" s="36" customFormat="1" ht="11.25">
      <c r="A318" s="8">
        <v>4091</v>
      </c>
      <c r="C318" s="36" t="s">
        <v>467</v>
      </c>
      <c r="D318" s="37"/>
      <c r="E318" s="37"/>
      <c r="F318" s="37"/>
      <c r="G318" s="37"/>
      <c r="H318" s="37"/>
      <c r="I318" s="37"/>
      <c r="J318" s="37"/>
      <c r="K318" s="37"/>
      <c r="L318" s="37">
        <f>'[1]odhodki-post-konti (2)'!AG1397</f>
        <v>62000000</v>
      </c>
      <c r="M318" s="37"/>
      <c r="N318" s="37">
        <v>58651983.5</v>
      </c>
      <c r="O318" s="39">
        <f>N318/L318*100</f>
        <v>94.59997338709677</v>
      </c>
      <c r="P318" s="37">
        <f>'[1]odhodki-post-konti'!AH1410</f>
        <v>26000000</v>
      </c>
      <c r="Q318" s="39"/>
      <c r="R318" s="39">
        <f>P318/L318*100</f>
        <v>41.935483870967744</v>
      </c>
      <c r="S318" s="39">
        <f>P318/N318*100</f>
        <v>44.329276604942095</v>
      </c>
      <c r="T318" s="37">
        <f>'[1]odhodki-post-konti'!AH1410</f>
        <v>26000000</v>
      </c>
      <c r="U318" s="37">
        <f>'[1]odhodki-post-konti'!AH1410</f>
        <v>26000000</v>
      </c>
      <c r="V318" s="37">
        <f>U318-P318</f>
        <v>0</v>
      </c>
      <c r="W318" s="37"/>
      <c r="X318" s="37"/>
      <c r="Y318" s="37">
        <v>0</v>
      </c>
      <c r="Z318" s="88">
        <f>+Y318/P318*100</f>
        <v>0</v>
      </c>
      <c r="AA318" s="88"/>
      <c r="AB318" s="37">
        <v>0</v>
      </c>
      <c r="AC318" s="88">
        <f t="shared" si="87"/>
        <v>0</v>
      </c>
      <c r="AD318" s="37">
        <v>0</v>
      </c>
      <c r="AE318" s="88">
        <f t="shared" si="88"/>
        <v>0</v>
      </c>
      <c r="AF318" s="88"/>
      <c r="AG318" s="37">
        <v>26000000</v>
      </c>
      <c r="AH318" s="88">
        <v>0</v>
      </c>
      <c r="AI318" s="39">
        <f>+AH318/AG318*100</f>
        <v>0</v>
      </c>
      <c r="AJ318" s="88">
        <v>9806723.54</v>
      </c>
      <c r="AK318" s="39">
        <f t="shared" si="86"/>
        <v>37.71816746153846</v>
      </c>
    </row>
    <row r="319" spans="1:37" s="36" customFormat="1" ht="12.75" hidden="1">
      <c r="A319" s="8">
        <v>4092</v>
      </c>
      <c r="C319" s="36" t="s">
        <v>468</v>
      </c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9"/>
      <c r="P319" s="37"/>
      <c r="Q319" s="39"/>
      <c r="R319" s="39"/>
      <c r="S319" s="39"/>
      <c r="T319" s="37"/>
      <c r="U319" s="37"/>
      <c r="V319" s="37">
        <f>U319-P319</f>
        <v>0</v>
      </c>
      <c r="W319" s="37"/>
      <c r="X319" s="37"/>
      <c r="Y319" s="37"/>
      <c r="Z319" s="88"/>
      <c r="AA319" s="88"/>
      <c r="AB319" s="37"/>
      <c r="AC319" s="88"/>
      <c r="AD319" s="37"/>
      <c r="AE319" s="88"/>
      <c r="AF319" s="88"/>
      <c r="AG319" s="25"/>
      <c r="AH319" s="88"/>
      <c r="AI319" s="39" t="e">
        <f>+AH319/AG319*100</f>
        <v>#DIV/0!</v>
      </c>
      <c r="AJ319" s="88"/>
      <c r="AK319" s="39" t="e">
        <f t="shared" si="86"/>
        <v>#DIV/0!</v>
      </c>
    </row>
    <row r="320" spans="1:37" ht="12.75">
      <c r="A320" s="28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6"/>
      <c r="P320" s="25"/>
      <c r="Q320" s="26"/>
      <c r="R320" s="26"/>
      <c r="S320" s="26"/>
      <c r="T320" s="25"/>
      <c r="U320" s="25"/>
      <c r="V320" s="25"/>
      <c r="W320" s="25"/>
      <c r="X320" s="25"/>
      <c r="Y320" s="25"/>
      <c r="Z320" s="94"/>
      <c r="AA320" s="89"/>
      <c r="AB320" s="25"/>
      <c r="AC320" s="94"/>
      <c r="AD320" s="25"/>
      <c r="AE320" s="94"/>
      <c r="AF320" s="94"/>
      <c r="AH320" s="89"/>
      <c r="AI320" s="26"/>
      <c r="AJ320" s="89"/>
      <c r="AK320" s="26"/>
    </row>
    <row r="321" spans="1:37" s="47" customFormat="1" ht="15.75" customHeight="1">
      <c r="A321" s="46">
        <v>41</v>
      </c>
      <c r="C321" s="47" t="s">
        <v>469</v>
      </c>
      <c r="D321" s="15">
        <f>D324+D329+D337+D341+D347</f>
        <v>0</v>
      </c>
      <c r="E321" s="15">
        <f>E324+E329+E337+E341+E347</f>
        <v>0</v>
      </c>
      <c r="F321" s="15"/>
      <c r="G321" s="15">
        <f>G324+G329+G337+G341+G347</f>
        <v>0</v>
      </c>
      <c r="H321" s="15">
        <f>H324+H329+H337+H341+H347</f>
        <v>0</v>
      </c>
      <c r="I321" s="15"/>
      <c r="J321" s="15">
        <f>J324+J329+J337+J341+J347</f>
        <v>0</v>
      </c>
      <c r="K321" s="15">
        <f>K324+K329+K337+K341+K347</f>
        <v>0</v>
      </c>
      <c r="L321" s="15">
        <f>L324+L329+L337+L341+L347</f>
        <v>6410845671</v>
      </c>
      <c r="M321" s="15"/>
      <c r="N321" s="15">
        <f>N324+N329+N337+N341+N347</f>
        <v>6211002938.76</v>
      </c>
      <c r="O321" s="16">
        <f>N321/L321*100</f>
        <v>96.88273993017793</v>
      </c>
      <c r="P321" s="15">
        <f>P324+P329+P337+P341+P347</f>
        <v>6533546070</v>
      </c>
      <c r="Q321" s="15">
        <f aca="true" t="shared" si="107" ref="Q321:AH321">Q324+Q329+Q337+Q341+Q347</f>
        <v>0</v>
      </c>
      <c r="R321" s="15">
        <f t="shared" si="107"/>
        <v>726.0807751446986</v>
      </c>
      <c r="S321" s="15">
        <f t="shared" si="107"/>
        <v>1611.532448465546</v>
      </c>
      <c r="T321" s="15">
        <f t="shared" si="107"/>
        <v>6533546070</v>
      </c>
      <c r="U321" s="15">
        <f t="shared" si="107"/>
        <v>6533546070</v>
      </c>
      <c r="V321" s="15">
        <f t="shared" si="107"/>
        <v>0</v>
      </c>
      <c r="W321" s="15">
        <f t="shared" si="107"/>
        <v>0</v>
      </c>
      <c r="X321" s="15">
        <f t="shared" si="107"/>
        <v>0</v>
      </c>
      <c r="Y321" s="15">
        <f t="shared" si="107"/>
        <v>544660370.91</v>
      </c>
      <c r="Z321" s="15">
        <f t="shared" si="107"/>
        <v>44.094308396176906</v>
      </c>
      <c r="AA321" s="15">
        <f t="shared" si="107"/>
        <v>0</v>
      </c>
      <c r="AB321" s="15">
        <f t="shared" si="107"/>
        <v>1095028429.6</v>
      </c>
      <c r="AC321" s="15" t="e">
        <f t="shared" si="107"/>
        <v>#DIV/0!</v>
      </c>
      <c r="AD321" s="15">
        <f t="shared" si="107"/>
        <v>2284438819.2</v>
      </c>
      <c r="AE321" s="15" t="e">
        <f t="shared" si="107"/>
        <v>#DIV/0!</v>
      </c>
      <c r="AF321" s="15"/>
      <c r="AG321" s="15">
        <f t="shared" si="107"/>
        <v>7041346850</v>
      </c>
      <c r="AH321" s="15">
        <f t="shared" si="107"/>
        <v>2947727514.2599998</v>
      </c>
      <c r="AI321" s="16">
        <f>+AH321/AG321*100</f>
        <v>41.863120466221595</v>
      </c>
      <c r="AJ321" s="91">
        <f>AJ324+AJ329+AJ337+AJ341+AJ347</f>
        <v>3488139401.06</v>
      </c>
      <c r="AK321" s="16">
        <f t="shared" si="86"/>
        <v>49.53795737331133</v>
      </c>
    </row>
    <row r="322" spans="1:37" s="31" customFormat="1" ht="12.75">
      <c r="A322" s="30"/>
      <c r="C322" s="29" t="s">
        <v>470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4"/>
      <c r="P322" s="32"/>
      <c r="Q322" s="34"/>
      <c r="R322" s="34"/>
      <c r="S322" s="34"/>
      <c r="T322" s="32"/>
      <c r="U322" s="32"/>
      <c r="V322" s="32"/>
      <c r="W322" s="32"/>
      <c r="X322" s="32"/>
      <c r="Y322" s="32"/>
      <c r="Z322" s="94"/>
      <c r="AA322" s="87"/>
      <c r="AB322" s="32"/>
      <c r="AC322" s="94"/>
      <c r="AD322" s="32"/>
      <c r="AE322" s="94"/>
      <c r="AF322" s="94"/>
      <c r="AG322" s="25"/>
      <c r="AH322" s="87"/>
      <c r="AI322" s="34"/>
      <c r="AJ322" s="87"/>
      <c r="AK322" s="34"/>
    </row>
    <row r="323" spans="1:37" ht="12.75">
      <c r="A323" s="28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6"/>
      <c r="P323" s="25"/>
      <c r="Q323" s="26"/>
      <c r="R323" s="26"/>
      <c r="S323" s="26"/>
      <c r="T323" s="25"/>
      <c r="U323" s="25"/>
      <c r="V323" s="25"/>
      <c r="W323" s="25"/>
      <c r="X323" s="25"/>
      <c r="Y323" s="25"/>
      <c r="Z323" s="94"/>
      <c r="AA323" s="89"/>
      <c r="AB323" s="25"/>
      <c r="AC323" s="94"/>
      <c r="AD323" s="25"/>
      <c r="AE323" s="94"/>
      <c r="AF323" s="94"/>
      <c r="AH323" s="89"/>
      <c r="AI323" s="26"/>
      <c r="AJ323" s="89"/>
      <c r="AK323" s="26"/>
    </row>
    <row r="324" spans="1:37" s="31" customFormat="1" ht="12.75">
      <c r="A324" s="30">
        <v>410</v>
      </c>
      <c r="C324" s="31" t="s">
        <v>471</v>
      </c>
      <c r="D324" s="32">
        <f>SUM(D325:D327)</f>
        <v>0</v>
      </c>
      <c r="E324" s="32">
        <f>SUM(E325:E327)</f>
        <v>0</v>
      </c>
      <c r="F324" s="32"/>
      <c r="G324" s="32">
        <f>SUM(G325:G327)</f>
        <v>0</v>
      </c>
      <c r="H324" s="32">
        <f>SUM(H325:H327)</f>
        <v>0</v>
      </c>
      <c r="I324" s="32"/>
      <c r="J324" s="32">
        <f>SUM(J325:J327)</f>
        <v>0</v>
      </c>
      <c r="K324" s="32">
        <f>SUM(K325:K327)</f>
        <v>0</v>
      </c>
      <c r="L324" s="32">
        <f>SUM(L325:L327)</f>
        <v>96588600</v>
      </c>
      <c r="M324" s="32"/>
      <c r="N324" s="32">
        <f>SUM(N325:N327)</f>
        <v>81236212.11</v>
      </c>
      <c r="O324" s="34">
        <f>N324/L324*100</f>
        <v>84.10538315080662</v>
      </c>
      <c r="P324" s="32">
        <f>SUM(P325:P327)</f>
        <v>182945900</v>
      </c>
      <c r="Q324" s="32">
        <f aca="true" t="shared" si="108" ref="Q324:AH324">SUM(Q325:Q327)</f>
        <v>0</v>
      </c>
      <c r="R324" s="32">
        <f t="shared" si="108"/>
        <v>116.41736188328645</v>
      </c>
      <c r="S324" s="32">
        <f t="shared" si="108"/>
        <v>138.41844305559167</v>
      </c>
      <c r="T324" s="32">
        <f t="shared" si="108"/>
        <v>182945900</v>
      </c>
      <c r="U324" s="32">
        <f t="shared" si="108"/>
        <v>182945900</v>
      </c>
      <c r="V324" s="32">
        <f t="shared" si="108"/>
        <v>0</v>
      </c>
      <c r="W324" s="32">
        <f t="shared" si="108"/>
        <v>0</v>
      </c>
      <c r="X324" s="32">
        <f t="shared" si="108"/>
        <v>0</v>
      </c>
      <c r="Y324" s="32">
        <f t="shared" si="108"/>
        <v>3745581.2</v>
      </c>
      <c r="Z324" s="32">
        <f t="shared" si="108"/>
        <v>3.3310073555371957</v>
      </c>
      <c r="AA324" s="32">
        <f t="shared" si="108"/>
        <v>0</v>
      </c>
      <c r="AB324" s="32">
        <f t="shared" si="108"/>
        <v>7067880.2</v>
      </c>
      <c r="AC324" s="32" t="e">
        <f t="shared" si="108"/>
        <v>#DIV/0!</v>
      </c>
      <c r="AD324" s="32">
        <f t="shared" si="108"/>
        <v>13449301.06</v>
      </c>
      <c r="AE324" s="32" t="e">
        <f t="shared" si="108"/>
        <v>#DIV/0!</v>
      </c>
      <c r="AF324" s="32"/>
      <c r="AG324" s="32">
        <f t="shared" si="108"/>
        <v>177485100</v>
      </c>
      <c r="AH324" s="87">
        <f t="shared" si="108"/>
        <v>16137890.74</v>
      </c>
      <c r="AI324" s="34">
        <f>+AH324/AG324*100</f>
        <v>9.092532691476636</v>
      </c>
      <c r="AJ324" s="87">
        <f>SUM(AJ325:AJ327)</f>
        <v>17876596.54</v>
      </c>
      <c r="AK324" s="34">
        <f t="shared" si="86"/>
        <v>10.072167488989216</v>
      </c>
    </row>
    <row r="325" spans="1:37" s="36" customFormat="1" ht="11.25">
      <c r="A325" s="8">
        <v>4100</v>
      </c>
      <c r="C325" s="36" t="s">
        <v>472</v>
      </c>
      <c r="D325" s="37"/>
      <c r="E325" s="37"/>
      <c r="F325" s="37"/>
      <c r="G325" s="37"/>
      <c r="H325" s="37"/>
      <c r="I325" s="37"/>
      <c r="J325" s="37"/>
      <c r="K325" s="37"/>
      <c r="L325" s="37">
        <f>'[1]odhodki-post-konti (2)'!AH1397</f>
        <v>0</v>
      </c>
      <c r="M325" s="37"/>
      <c r="N325" s="37"/>
      <c r="O325" s="39"/>
      <c r="P325" s="37">
        <f>'[1]odhodki-post-konti'!AI1410</f>
        <v>70500000</v>
      </c>
      <c r="Q325" s="39"/>
      <c r="R325" s="39"/>
      <c r="S325" s="39"/>
      <c r="T325" s="37">
        <f>'[1]odhodki-post-konti'!AI1410</f>
        <v>70500000</v>
      </c>
      <c r="U325" s="37">
        <f>'[1]odhodki-post-konti'!AI1410</f>
        <v>70500000</v>
      </c>
      <c r="V325" s="37">
        <f>U325-P325</f>
        <v>0</v>
      </c>
      <c r="W325" s="37"/>
      <c r="X325" s="37"/>
      <c r="Y325" s="37">
        <v>0</v>
      </c>
      <c r="Z325" s="88">
        <f>+Y325/P325*100</f>
        <v>0</v>
      </c>
      <c r="AA325" s="88"/>
      <c r="AB325" s="37">
        <v>0</v>
      </c>
      <c r="AC325" s="88">
        <f t="shared" si="87"/>
        <v>0</v>
      </c>
      <c r="AD325" s="37">
        <v>0</v>
      </c>
      <c r="AE325" s="88">
        <f t="shared" si="88"/>
        <v>0</v>
      </c>
      <c r="AF325" s="88"/>
      <c r="AG325" s="37">
        <v>64140000</v>
      </c>
      <c r="AH325" s="88">
        <v>0</v>
      </c>
      <c r="AI325" s="39">
        <f>+AH325/AG325*100</f>
        <v>0</v>
      </c>
      <c r="AJ325" s="88">
        <v>0</v>
      </c>
      <c r="AK325" s="39">
        <f t="shared" si="86"/>
        <v>0</v>
      </c>
    </row>
    <row r="326" spans="1:37" s="36" customFormat="1" ht="11.25" hidden="1">
      <c r="A326" s="8">
        <v>4101</v>
      </c>
      <c r="C326" s="36" t="s">
        <v>473</v>
      </c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9"/>
      <c r="P326" s="37"/>
      <c r="Q326" s="39"/>
      <c r="R326" s="39"/>
      <c r="S326" s="39"/>
      <c r="T326" s="37"/>
      <c r="U326" s="37"/>
      <c r="V326" s="37">
        <f>U326-P326</f>
        <v>0</v>
      </c>
      <c r="W326" s="37"/>
      <c r="X326" s="37"/>
      <c r="Y326" s="37">
        <v>0</v>
      </c>
      <c r="Z326" s="88"/>
      <c r="AA326" s="88"/>
      <c r="AB326" s="37">
        <v>0</v>
      </c>
      <c r="AC326" s="88" t="e">
        <f t="shared" si="87"/>
        <v>#DIV/0!</v>
      </c>
      <c r="AD326" s="37">
        <v>0</v>
      </c>
      <c r="AE326" s="88" t="e">
        <f t="shared" si="88"/>
        <v>#DIV/0!</v>
      </c>
      <c r="AF326" s="88"/>
      <c r="AG326" s="37"/>
      <c r="AH326" s="88"/>
      <c r="AI326" s="39" t="e">
        <f>+AH326/AG326*100</f>
        <v>#DIV/0!</v>
      </c>
      <c r="AJ326" s="88"/>
      <c r="AK326" s="39" t="e">
        <f t="shared" si="86"/>
        <v>#DIV/0!</v>
      </c>
    </row>
    <row r="327" spans="1:37" s="36" customFormat="1" ht="11.25">
      <c r="A327" s="8">
        <v>4102</v>
      </c>
      <c r="C327" s="36" t="s">
        <v>474</v>
      </c>
      <c r="D327" s="37"/>
      <c r="E327" s="37"/>
      <c r="F327" s="37"/>
      <c r="G327" s="37"/>
      <c r="H327" s="37"/>
      <c r="I327" s="37"/>
      <c r="J327" s="37"/>
      <c r="K327" s="37"/>
      <c r="L327" s="37">
        <f>'[1]odhodki-post-konti (2)'!AI1397</f>
        <v>96588600</v>
      </c>
      <c r="M327" s="37"/>
      <c r="N327" s="37">
        <v>81236212.11</v>
      </c>
      <c r="O327" s="39">
        <f>N327/L327*100</f>
        <v>84.10538315080662</v>
      </c>
      <c r="P327" s="37">
        <f>'[1]odhodki-post-konti'!AJ1410</f>
        <v>112445900</v>
      </c>
      <c r="Q327" s="39"/>
      <c r="R327" s="39">
        <f>P327/L327*100</f>
        <v>116.41736188328645</v>
      </c>
      <c r="S327" s="39">
        <f>P327/N327*100</f>
        <v>138.41844305559167</v>
      </c>
      <c r="T327" s="37">
        <f>'[1]odhodki-post-konti'!AJ1410</f>
        <v>112445900</v>
      </c>
      <c r="U327" s="37">
        <f>'[1]odhodki-post-konti'!AJ1410</f>
        <v>112445900</v>
      </c>
      <c r="V327" s="37">
        <f>U327-P327</f>
        <v>0</v>
      </c>
      <c r="W327" s="37"/>
      <c r="X327" s="37"/>
      <c r="Y327" s="37">
        <v>3745581.2</v>
      </c>
      <c r="Z327" s="88">
        <f>+Y327/P327*100</f>
        <v>3.3310073555371957</v>
      </c>
      <c r="AA327" s="88"/>
      <c r="AB327" s="37">
        <v>7067880.2</v>
      </c>
      <c r="AC327" s="88">
        <f t="shared" si="87"/>
        <v>6.2855828447279976</v>
      </c>
      <c r="AD327" s="37">
        <v>13449301.06</v>
      </c>
      <c r="AE327" s="88">
        <f t="shared" si="88"/>
        <v>11.960686036574034</v>
      </c>
      <c r="AF327" s="88"/>
      <c r="AG327" s="37">
        <v>113345100</v>
      </c>
      <c r="AH327" s="88">
        <v>16137890.74</v>
      </c>
      <c r="AI327" s="39">
        <f>+AH327/AG327*100</f>
        <v>14.237837136320847</v>
      </c>
      <c r="AJ327" s="88">
        <v>17876596.54</v>
      </c>
      <c r="AK327" s="39">
        <f t="shared" si="86"/>
        <v>15.771830048233227</v>
      </c>
    </row>
    <row r="328" spans="1:37" ht="12.75">
      <c r="A328" s="28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6"/>
      <c r="P328" s="25"/>
      <c r="Q328" s="26"/>
      <c r="R328" s="26"/>
      <c r="S328" s="26"/>
      <c r="T328" s="25"/>
      <c r="U328" s="25"/>
      <c r="V328" s="25"/>
      <c r="W328" s="25"/>
      <c r="X328" s="25"/>
      <c r="Y328" s="25"/>
      <c r="Z328" s="94"/>
      <c r="AA328" s="89"/>
      <c r="AB328" s="25"/>
      <c r="AC328" s="94"/>
      <c r="AD328" s="25"/>
      <c r="AE328" s="94"/>
      <c r="AF328" s="94"/>
      <c r="AH328" s="89"/>
      <c r="AI328" s="26"/>
      <c r="AJ328" s="89"/>
      <c r="AK328" s="26"/>
    </row>
    <row r="329" spans="1:37" s="31" customFormat="1" ht="12.75">
      <c r="A329" s="30">
        <v>411</v>
      </c>
      <c r="C329" s="31" t="s">
        <v>475</v>
      </c>
      <c r="D329" s="32">
        <f>SUM(D330:D335)</f>
        <v>0</v>
      </c>
      <c r="E329" s="32">
        <f>SUM(E330:E335)</f>
        <v>0</v>
      </c>
      <c r="F329" s="32"/>
      <c r="G329" s="32">
        <f>SUM(G330:G335)</f>
        <v>0</v>
      </c>
      <c r="H329" s="32">
        <f>SUM(H330:H335)</f>
        <v>0</v>
      </c>
      <c r="I329" s="32"/>
      <c r="J329" s="32">
        <f>SUM(J330:J335)</f>
        <v>0</v>
      </c>
      <c r="K329" s="32">
        <f>SUM(K330:K335)</f>
        <v>0</v>
      </c>
      <c r="L329" s="32">
        <f>SUM(L330:L335)</f>
        <v>1994964700</v>
      </c>
      <c r="M329" s="32"/>
      <c r="N329" s="32">
        <f>SUM(N330:N335)</f>
        <v>341932123.90000004</v>
      </c>
      <c r="O329" s="34">
        <f>N329/L329*100</f>
        <v>17.139758106998084</v>
      </c>
      <c r="P329" s="32">
        <f>SUM(P330:P335)</f>
        <v>2204935600</v>
      </c>
      <c r="Q329" s="32">
        <f aca="true" t="shared" si="109" ref="Q329:AH329">SUM(Q330:Q335)</f>
        <v>0</v>
      </c>
      <c r="R329" s="32">
        <f t="shared" si="109"/>
        <v>110.61385206808797</v>
      </c>
      <c r="S329" s="32">
        <f t="shared" si="109"/>
        <v>669.6560432794462</v>
      </c>
      <c r="T329" s="32">
        <f t="shared" si="109"/>
        <v>2204935600</v>
      </c>
      <c r="U329" s="32">
        <f t="shared" si="109"/>
        <v>2204935600</v>
      </c>
      <c r="V329" s="32">
        <f t="shared" si="109"/>
        <v>0</v>
      </c>
      <c r="W329" s="32">
        <f t="shared" si="109"/>
        <v>0</v>
      </c>
      <c r="X329" s="32">
        <f t="shared" si="109"/>
        <v>0</v>
      </c>
      <c r="Y329" s="32">
        <f t="shared" si="109"/>
        <v>13388918.7</v>
      </c>
      <c r="Z329" s="32">
        <f t="shared" si="109"/>
        <v>0.6072249321023253</v>
      </c>
      <c r="AA329" s="32">
        <f t="shared" si="109"/>
        <v>0</v>
      </c>
      <c r="AB329" s="32">
        <f t="shared" si="109"/>
        <v>38037822.16</v>
      </c>
      <c r="AC329" s="32" t="e">
        <f t="shared" si="109"/>
        <v>#DIV/0!</v>
      </c>
      <c r="AD329" s="32">
        <f t="shared" si="109"/>
        <v>91071676.51</v>
      </c>
      <c r="AE329" s="32" t="e">
        <f t="shared" si="109"/>
        <v>#DIV/0!</v>
      </c>
      <c r="AF329" s="32"/>
      <c r="AG329" s="32">
        <f t="shared" si="109"/>
        <v>2214652700</v>
      </c>
      <c r="AH329" s="87">
        <f t="shared" si="109"/>
        <v>111312022.1</v>
      </c>
      <c r="AI329" s="34">
        <f aca="true" t="shared" si="110" ref="AI329:AI335">+AH329/AG329*100</f>
        <v>5.026161533137905</v>
      </c>
      <c r="AJ329" s="87">
        <f>SUM(AJ330:AJ335)</f>
        <v>133079333.72</v>
      </c>
      <c r="AK329" s="34">
        <f aca="true" t="shared" si="111" ref="AK329:AK378">+AJ329/AG329*100</f>
        <v>6.009038515158608</v>
      </c>
    </row>
    <row r="330" spans="1:37" ht="12.75" hidden="1">
      <c r="A330" s="28">
        <v>4110</v>
      </c>
      <c r="C330" t="s">
        <v>476</v>
      </c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6"/>
      <c r="P330" s="25"/>
      <c r="Q330" s="26"/>
      <c r="R330" s="26"/>
      <c r="S330" s="26"/>
      <c r="T330" s="25"/>
      <c r="U330" s="25"/>
      <c r="V330" s="25">
        <f aca="true" t="shared" si="112" ref="V330:V335">U330-P330</f>
        <v>0</v>
      </c>
      <c r="W330" s="25"/>
      <c r="X330" s="25"/>
      <c r="Y330" s="25">
        <v>0</v>
      </c>
      <c r="Z330" s="94"/>
      <c r="AA330" s="89"/>
      <c r="AB330" s="25">
        <v>0</v>
      </c>
      <c r="AC330" s="94" t="e">
        <f t="shared" si="87"/>
        <v>#DIV/0!</v>
      </c>
      <c r="AD330" s="25">
        <v>0</v>
      </c>
      <c r="AE330" s="94" t="e">
        <f t="shared" si="88"/>
        <v>#DIV/0!</v>
      </c>
      <c r="AF330" s="94"/>
      <c r="AH330" s="89"/>
      <c r="AI330" s="26" t="e">
        <f t="shared" si="110"/>
        <v>#DIV/0!</v>
      </c>
      <c r="AJ330" s="89"/>
      <c r="AK330" s="26" t="e">
        <f t="shared" si="111"/>
        <v>#DIV/0!</v>
      </c>
    </row>
    <row r="331" spans="1:37" ht="12.75" hidden="1">
      <c r="A331" s="28">
        <v>4111</v>
      </c>
      <c r="C331" t="s">
        <v>477</v>
      </c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6"/>
      <c r="P331" s="25"/>
      <c r="Q331" s="26"/>
      <c r="R331" s="26"/>
      <c r="S331" s="26"/>
      <c r="T331" s="25"/>
      <c r="U331" s="25"/>
      <c r="V331" s="25">
        <f t="shared" si="112"/>
        <v>0</v>
      </c>
      <c r="W331" s="25"/>
      <c r="X331" s="25"/>
      <c r="Y331" s="25">
        <v>0</v>
      </c>
      <c r="Z331" s="94"/>
      <c r="AA331" s="89"/>
      <c r="AB331" s="25">
        <v>0</v>
      </c>
      <c r="AC331" s="94" t="e">
        <f t="shared" si="87"/>
        <v>#DIV/0!</v>
      </c>
      <c r="AD331" s="25">
        <v>0</v>
      </c>
      <c r="AE331" s="94" t="e">
        <f t="shared" si="88"/>
        <v>#DIV/0!</v>
      </c>
      <c r="AF331" s="94"/>
      <c r="AH331" s="89"/>
      <c r="AI331" s="26" t="e">
        <f t="shared" si="110"/>
        <v>#DIV/0!</v>
      </c>
      <c r="AJ331" s="89"/>
      <c r="AK331" s="26" t="e">
        <f t="shared" si="111"/>
        <v>#DIV/0!</v>
      </c>
    </row>
    <row r="332" spans="1:37" ht="12.75" hidden="1">
      <c r="A332" s="28">
        <v>4112</v>
      </c>
      <c r="C332" t="s">
        <v>478</v>
      </c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>
        <v>12273611.4</v>
      </c>
      <c r="O332" s="26"/>
      <c r="P332" s="25"/>
      <c r="Q332" s="26"/>
      <c r="R332" s="26"/>
      <c r="S332" s="26"/>
      <c r="T332" s="25"/>
      <c r="U332" s="25"/>
      <c r="V332" s="25">
        <f t="shared" si="112"/>
        <v>0</v>
      </c>
      <c r="W332" s="25"/>
      <c r="X332" s="25"/>
      <c r="Y332" s="25">
        <v>0</v>
      </c>
      <c r="Z332" s="94"/>
      <c r="AA332" s="89"/>
      <c r="AB332" s="25">
        <v>0</v>
      </c>
      <c r="AC332" s="94" t="e">
        <f t="shared" si="87"/>
        <v>#DIV/0!</v>
      </c>
      <c r="AD332" s="25">
        <v>0</v>
      </c>
      <c r="AE332" s="94" t="e">
        <f t="shared" si="88"/>
        <v>#DIV/0!</v>
      </c>
      <c r="AF332" s="94"/>
      <c r="AH332" s="89"/>
      <c r="AI332" s="26" t="e">
        <f t="shared" si="110"/>
        <v>#DIV/0!</v>
      </c>
      <c r="AJ332" s="89"/>
      <c r="AK332" s="26" t="e">
        <f t="shared" si="111"/>
        <v>#DIV/0!</v>
      </c>
    </row>
    <row r="333" spans="1:37" ht="12.75" hidden="1">
      <c r="A333" s="28">
        <v>4113</v>
      </c>
      <c r="C333" t="s">
        <v>479</v>
      </c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6"/>
      <c r="P333" s="25"/>
      <c r="Q333" s="26"/>
      <c r="R333" s="26"/>
      <c r="S333" s="26"/>
      <c r="T333" s="25"/>
      <c r="U333" s="25"/>
      <c r="V333" s="25">
        <f t="shared" si="112"/>
        <v>0</v>
      </c>
      <c r="W333" s="25"/>
      <c r="X333" s="25"/>
      <c r="Y333" s="25">
        <v>0</v>
      </c>
      <c r="Z333" s="94"/>
      <c r="AA333" s="89"/>
      <c r="AB333" s="25">
        <v>0</v>
      </c>
      <c r="AC333" s="94" t="e">
        <f aca="true" t="shared" si="113" ref="AC333:AC376">+AB333/P333*100</f>
        <v>#DIV/0!</v>
      </c>
      <c r="AD333" s="25">
        <v>0</v>
      </c>
      <c r="AE333" s="94" t="e">
        <f aca="true" t="shared" si="114" ref="AE333:AE376">AD333/P333*100</f>
        <v>#DIV/0!</v>
      </c>
      <c r="AF333" s="94"/>
      <c r="AH333" s="89"/>
      <c r="AI333" s="26" t="e">
        <f t="shared" si="110"/>
        <v>#DIV/0!</v>
      </c>
      <c r="AJ333" s="89"/>
      <c r="AK333" s="26" t="e">
        <f t="shared" si="111"/>
        <v>#DIV/0!</v>
      </c>
    </row>
    <row r="334" spans="1:37" ht="12.75" hidden="1">
      <c r="A334" s="28">
        <v>4117</v>
      </c>
      <c r="C334" t="s">
        <v>480</v>
      </c>
      <c r="D334" s="25"/>
      <c r="E334" s="25"/>
      <c r="F334" s="25"/>
      <c r="G334" s="25"/>
      <c r="H334" s="25"/>
      <c r="I334" s="25"/>
      <c r="J334" s="25"/>
      <c r="K334" s="25"/>
      <c r="L334" s="25">
        <f>'[1]odhodki-post-konti (2)'!AJ1397</f>
        <v>1601700</v>
      </c>
      <c r="M334" s="25"/>
      <c r="N334" s="25">
        <v>394613.2</v>
      </c>
      <c r="O334" s="26">
        <f>N334/L334*100</f>
        <v>24.637148030217894</v>
      </c>
      <c r="P334" s="25"/>
      <c r="Q334" s="26"/>
      <c r="R334" s="26">
        <f>P334/L334*100</f>
        <v>0</v>
      </c>
      <c r="S334" s="26"/>
      <c r="T334" s="25"/>
      <c r="U334" s="25"/>
      <c r="V334" s="25">
        <f t="shared" si="112"/>
        <v>0</v>
      </c>
      <c r="W334" s="25"/>
      <c r="X334" s="25"/>
      <c r="Y334" s="25">
        <v>0</v>
      </c>
      <c r="Z334" s="94"/>
      <c r="AA334" s="89"/>
      <c r="AB334" s="25">
        <v>0</v>
      </c>
      <c r="AC334" s="94" t="e">
        <f t="shared" si="113"/>
        <v>#DIV/0!</v>
      </c>
      <c r="AD334" s="25">
        <v>0</v>
      </c>
      <c r="AE334" s="94" t="e">
        <f t="shared" si="114"/>
        <v>#DIV/0!</v>
      </c>
      <c r="AF334" s="94"/>
      <c r="AH334" s="89"/>
      <c r="AI334" s="26" t="e">
        <f t="shared" si="110"/>
        <v>#DIV/0!</v>
      </c>
      <c r="AJ334" s="89"/>
      <c r="AK334" s="26" t="e">
        <f t="shared" si="111"/>
        <v>#DIV/0!</v>
      </c>
    </row>
    <row r="335" spans="1:37" s="36" customFormat="1" ht="11.25">
      <c r="A335" s="8">
        <v>4119</v>
      </c>
      <c r="C335" s="36" t="s">
        <v>481</v>
      </c>
      <c r="D335" s="37"/>
      <c r="E335" s="37"/>
      <c r="F335" s="37"/>
      <c r="G335" s="37"/>
      <c r="H335" s="37"/>
      <c r="I335" s="37"/>
      <c r="J335" s="37"/>
      <c r="K335" s="37"/>
      <c r="L335" s="37">
        <f>'[1]odhodki-post-konti (2)'!AK1397</f>
        <v>1993363000</v>
      </c>
      <c r="M335" s="37"/>
      <c r="N335" s="37">
        <v>329263899.3</v>
      </c>
      <c r="O335" s="39">
        <f>N335/L335*100</f>
        <v>16.518009981122354</v>
      </c>
      <c r="P335" s="37">
        <f>'[1]odhodki-post-konti'!AK1410</f>
        <v>2204935600</v>
      </c>
      <c r="Q335" s="39"/>
      <c r="R335" s="39">
        <f>P335/L335*100</f>
        <v>110.61385206808797</v>
      </c>
      <c r="S335" s="39">
        <f>P335/N335*100</f>
        <v>669.6560432794462</v>
      </c>
      <c r="T335" s="37">
        <f>'[1]odhodki-post-konti'!AK1410</f>
        <v>2204935600</v>
      </c>
      <c r="U335" s="37">
        <f>'[1]odhodki-post-konti'!AK1410</f>
        <v>2204935600</v>
      </c>
      <c r="V335" s="37">
        <f t="shared" si="112"/>
        <v>0</v>
      </c>
      <c r="W335" s="37"/>
      <c r="X335" s="37"/>
      <c r="Y335" s="37">
        <v>13388918.7</v>
      </c>
      <c r="Z335" s="88">
        <f>+Y335/P335*100</f>
        <v>0.6072249321023253</v>
      </c>
      <c r="AA335" s="88"/>
      <c r="AB335" s="37">
        <v>38037822.16</v>
      </c>
      <c r="AC335" s="88">
        <f t="shared" si="113"/>
        <v>1.7251216842795771</v>
      </c>
      <c r="AD335" s="37">
        <v>91071676.51</v>
      </c>
      <c r="AE335" s="88">
        <f t="shared" si="114"/>
        <v>4.130355394960288</v>
      </c>
      <c r="AF335" s="88"/>
      <c r="AG335" s="37">
        <v>2214652700</v>
      </c>
      <c r="AH335" s="88">
        <v>111312022.1</v>
      </c>
      <c r="AI335" s="39">
        <f t="shared" si="110"/>
        <v>5.026161533137905</v>
      </c>
      <c r="AJ335" s="88">
        <v>133079333.72</v>
      </c>
      <c r="AK335" s="39">
        <f t="shared" si="111"/>
        <v>6.009038515158608</v>
      </c>
    </row>
    <row r="336" spans="1:37" ht="12.75">
      <c r="A336" s="28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6"/>
      <c r="P336" s="25"/>
      <c r="Q336" s="26"/>
      <c r="R336" s="26"/>
      <c r="S336" s="26"/>
      <c r="T336" s="25"/>
      <c r="U336" s="25"/>
      <c r="V336" s="25"/>
      <c r="W336" s="25"/>
      <c r="X336" s="25"/>
      <c r="Y336" s="25"/>
      <c r="Z336" s="94"/>
      <c r="AA336" s="89"/>
      <c r="AB336" s="25"/>
      <c r="AC336" s="94"/>
      <c r="AD336" s="25"/>
      <c r="AE336" s="94"/>
      <c r="AF336" s="94"/>
      <c r="AH336" s="89"/>
      <c r="AI336" s="26"/>
      <c r="AJ336" s="89"/>
      <c r="AK336" s="26"/>
    </row>
    <row r="337" spans="1:37" s="31" customFormat="1" ht="12.75">
      <c r="A337" s="30">
        <v>412</v>
      </c>
      <c r="C337" s="31" t="s">
        <v>482</v>
      </c>
      <c r="D337" s="32">
        <f>D339</f>
        <v>0</v>
      </c>
      <c r="E337" s="32">
        <f>E339</f>
        <v>0</v>
      </c>
      <c r="F337" s="32"/>
      <c r="G337" s="32">
        <f>G339</f>
        <v>0</v>
      </c>
      <c r="H337" s="32">
        <f>H339</f>
        <v>0</v>
      </c>
      <c r="I337" s="32"/>
      <c r="J337" s="32">
        <f>J339</f>
        <v>0</v>
      </c>
      <c r="K337" s="32">
        <f>K339</f>
        <v>0</v>
      </c>
      <c r="L337" s="32">
        <f>L339</f>
        <v>505993986</v>
      </c>
      <c r="M337" s="32"/>
      <c r="N337" s="32">
        <f>N339</f>
        <v>144988337.83</v>
      </c>
      <c r="O337" s="34">
        <f>N337/L337*100</f>
        <v>28.654162271011657</v>
      </c>
      <c r="P337" s="32">
        <f>P339</f>
        <v>505411270</v>
      </c>
      <c r="Q337" s="32">
        <f aca="true" t="shared" si="115" ref="Q337:AH337">Q339</f>
        <v>0</v>
      </c>
      <c r="R337" s="32">
        <f t="shared" si="115"/>
        <v>99.88483736642672</v>
      </c>
      <c r="S337" s="32">
        <f t="shared" si="115"/>
        <v>348.5875330142751</v>
      </c>
      <c r="T337" s="32">
        <f t="shared" si="115"/>
        <v>505411270</v>
      </c>
      <c r="U337" s="32">
        <f t="shared" si="115"/>
        <v>505411270</v>
      </c>
      <c r="V337" s="32">
        <f t="shared" si="115"/>
        <v>0</v>
      </c>
      <c r="W337" s="32">
        <f t="shared" si="115"/>
        <v>0</v>
      </c>
      <c r="X337" s="32">
        <f t="shared" si="115"/>
        <v>0</v>
      </c>
      <c r="Y337" s="32">
        <f t="shared" si="115"/>
        <v>33932892.1</v>
      </c>
      <c r="Z337" s="32">
        <f t="shared" si="115"/>
        <v>6.71391678701585</v>
      </c>
      <c r="AA337" s="32">
        <f t="shared" si="115"/>
        <v>0</v>
      </c>
      <c r="AB337" s="32">
        <f t="shared" si="115"/>
        <v>47906322.12</v>
      </c>
      <c r="AC337" s="32">
        <f t="shared" si="115"/>
        <v>9.478681019519014</v>
      </c>
      <c r="AD337" s="32">
        <f t="shared" si="115"/>
        <v>134961056.32</v>
      </c>
      <c r="AE337" s="32">
        <f t="shared" si="115"/>
        <v>26.703214655264805</v>
      </c>
      <c r="AF337" s="32"/>
      <c r="AG337" s="32">
        <f t="shared" si="115"/>
        <v>520200450</v>
      </c>
      <c r="AH337" s="87">
        <f t="shared" si="115"/>
        <v>179326735.12</v>
      </c>
      <c r="AI337" s="34">
        <f>+AH337/AG337*100</f>
        <v>34.472622067128164</v>
      </c>
      <c r="AJ337" s="87">
        <f>AJ339</f>
        <v>223988726.82</v>
      </c>
      <c r="AK337" s="34">
        <f t="shared" si="111"/>
        <v>43.058157066184776</v>
      </c>
    </row>
    <row r="338" spans="1:37" s="31" customFormat="1" ht="12.75">
      <c r="A338" s="30"/>
      <c r="C338" s="31" t="s">
        <v>483</v>
      </c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4"/>
      <c r="P338" s="32"/>
      <c r="Q338" s="34"/>
      <c r="R338" s="34"/>
      <c r="S338" s="34"/>
      <c r="T338" s="32"/>
      <c r="U338" s="32"/>
      <c r="V338" s="32">
        <f>U338-P338</f>
        <v>0</v>
      </c>
      <c r="W338" s="32"/>
      <c r="X338" s="32"/>
      <c r="Y338" s="32"/>
      <c r="Z338" s="94"/>
      <c r="AA338" s="87"/>
      <c r="AB338" s="32"/>
      <c r="AC338" s="94"/>
      <c r="AD338" s="32"/>
      <c r="AE338" s="94"/>
      <c r="AF338" s="94"/>
      <c r="AG338" s="25"/>
      <c r="AH338" s="87"/>
      <c r="AI338" s="34"/>
      <c r="AJ338" s="87"/>
      <c r="AK338" s="34"/>
    </row>
    <row r="339" spans="1:37" s="36" customFormat="1" ht="11.25">
      <c r="A339" s="8">
        <v>4120</v>
      </c>
      <c r="C339" s="36" t="s">
        <v>484</v>
      </c>
      <c r="D339" s="37"/>
      <c r="E339" s="37"/>
      <c r="F339" s="37"/>
      <c r="G339" s="37"/>
      <c r="H339" s="37"/>
      <c r="I339" s="37"/>
      <c r="J339" s="37"/>
      <c r="K339" s="37"/>
      <c r="L339" s="37">
        <f>'[1]odhodki-post-konti (2)'!AL1397</f>
        <v>505993986</v>
      </c>
      <c r="M339" s="37"/>
      <c r="N339" s="37">
        <v>144988337.83</v>
      </c>
      <c r="O339" s="39">
        <f>N339/L339*100</f>
        <v>28.654162271011657</v>
      </c>
      <c r="P339" s="37">
        <f>'[1]odhodki-post-konti'!AL1410</f>
        <v>505411270</v>
      </c>
      <c r="Q339" s="39"/>
      <c r="R339" s="39">
        <f>P339/L339*100</f>
        <v>99.88483736642672</v>
      </c>
      <c r="S339" s="39">
        <f>P339/N339*100</f>
        <v>348.5875330142751</v>
      </c>
      <c r="T339" s="37">
        <f>'[1]odhodki-post-konti'!AL1410</f>
        <v>505411270</v>
      </c>
      <c r="U339" s="37">
        <f>'[1]odhodki-post-konti'!AL1410</f>
        <v>505411270</v>
      </c>
      <c r="V339" s="37">
        <f>U339-P339</f>
        <v>0</v>
      </c>
      <c r="W339" s="37"/>
      <c r="X339" s="37"/>
      <c r="Y339" s="37">
        <v>33932892.1</v>
      </c>
      <c r="Z339" s="88">
        <f>+Y339/P339*100</f>
        <v>6.71391678701585</v>
      </c>
      <c r="AA339" s="88"/>
      <c r="AB339" s="37">
        <v>47906322.12</v>
      </c>
      <c r="AC339" s="88">
        <f t="shared" si="113"/>
        <v>9.478681019519014</v>
      </c>
      <c r="AD339" s="37">
        <v>134961056.32</v>
      </c>
      <c r="AE339" s="88">
        <f t="shared" si="114"/>
        <v>26.703214655264805</v>
      </c>
      <c r="AF339" s="88"/>
      <c r="AG339" s="37">
        <v>520200450</v>
      </c>
      <c r="AH339" s="88">
        <v>179326735.12</v>
      </c>
      <c r="AI339" s="39">
        <f>+AH339/AG339*100</f>
        <v>34.472622067128164</v>
      </c>
      <c r="AJ339" s="88">
        <v>223988726.82</v>
      </c>
      <c r="AK339" s="39">
        <f t="shared" si="111"/>
        <v>43.058157066184776</v>
      </c>
    </row>
    <row r="340" spans="1:37" ht="12.75">
      <c r="A340" s="28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6"/>
      <c r="P340" s="25"/>
      <c r="Q340" s="26"/>
      <c r="R340" s="26"/>
      <c r="S340" s="26"/>
      <c r="T340" s="25"/>
      <c r="U340" s="25"/>
      <c r="V340" s="25"/>
      <c r="W340" s="25"/>
      <c r="X340" s="25"/>
      <c r="Y340" s="25"/>
      <c r="Z340" s="94"/>
      <c r="AA340" s="89"/>
      <c r="AB340" s="25"/>
      <c r="AC340" s="94"/>
      <c r="AD340" s="25"/>
      <c r="AE340" s="94"/>
      <c r="AF340" s="94"/>
      <c r="AH340" s="89"/>
      <c r="AI340" s="26"/>
      <c r="AJ340" s="89"/>
      <c r="AK340" s="26"/>
    </row>
    <row r="341" spans="1:37" s="31" customFormat="1" ht="12.75">
      <c r="A341" s="30">
        <v>413</v>
      </c>
      <c r="C341" s="31" t="s">
        <v>485</v>
      </c>
      <c r="D341" s="32">
        <f>SUM(D342:D345)</f>
        <v>0</v>
      </c>
      <c r="E341" s="32">
        <f>SUM(E342:E345)</f>
        <v>0</v>
      </c>
      <c r="F341" s="32"/>
      <c r="G341" s="32">
        <f>SUM(G342:G345)</f>
        <v>0</v>
      </c>
      <c r="H341" s="32">
        <f>SUM(H342:H345)</f>
        <v>0</v>
      </c>
      <c r="I341" s="32"/>
      <c r="J341" s="32">
        <f>SUM(J342:J345)</f>
        <v>0</v>
      </c>
      <c r="K341" s="32">
        <f>SUM(K342:K345)</f>
        <v>0</v>
      </c>
      <c r="L341" s="32">
        <f>SUM(L342:L345)</f>
        <v>3813298385</v>
      </c>
      <c r="M341" s="32"/>
      <c r="N341" s="32">
        <f>SUM(N342:N345)</f>
        <v>5642612912.81</v>
      </c>
      <c r="O341" s="34">
        <f>N341/L341*100</f>
        <v>147.97197447243565</v>
      </c>
      <c r="P341" s="32">
        <f>SUM(P342:P345)</f>
        <v>3640053300</v>
      </c>
      <c r="Q341" s="32">
        <f aca="true" t="shared" si="116" ref="Q341:AH341">SUM(Q342:Q345)</f>
        <v>0</v>
      </c>
      <c r="R341" s="32">
        <f t="shared" si="116"/>
        <v>399.16472382689744</v>
      </c>
      <c r="S341" s="32">
        <f t="shared" si="116"/>
        <v>326.3068144576411</v>
      </c>
      <c r="T341" s="32">
        <f t="shared" si="116"/>
        <v>3640053300</v>
      </c>
      <c r="U341" s="32">
        <f t="shared" si="116"/>
        <v>3640053300</v>
      </c>
      <c r="V341" s="32">
        <f t="shared" si="116"/>
        <v>0</v>
      </c>
      <c r="W341" s="32">
        <f t="shared" si="116"/>
        <v>0</v>
      </c>
      <c r="X341" s="32">
        <f t="shared" si="116"/>
        <v>0</v>
      </c>
      <c r="Y341" s="32">
        <f t="shared" si="116"/>
        <v>493592978.90999997</v>
      </c>
      <c r="Z341" s="32">
        <f t="shared" si="116"/>
        <v>33.44215932152154</v>
      </c>
      <c r="AA341" s="32">
        <f t="shared" si="116"/>
        <v>0</v>
      </c>
      <c r="AB341" s="32">
        <f t="shared" si="116"/>
        <v>1002016405.1199999</v>
      </c>
      <c r="AC341" s="32">
        <f t="shared" si="116"/>
        <v>72.24919334392253</v>
      </c>
      <c r="AD341" s="32">
        <f t="shared" si="116"/>
        <v>2044906799.27</v>
      </c>
      <c r="AE341" s="32">
        <f t="shared" si="116"/>
        <v>158.80373509867428</v>
      </c>
      <c r="AF341" s="32"/>
      <c r="AG341" s="32">
        <f t="shared" si="116"/>
        <v>4128808600</v>
      </c>
      <c r="AH341" s="87">
        <f t="shared" si="116"/>
        <v>2640900880.2599998</v>
      </c>
      <c r="AI341" s="34">
        <f>+AH341/AG341*100</f>
        <v>63.96278287785003</v>
      </c>
      <c r="AJ341" s="87">
        <f>SUM(AJ342:AJ345)</f>
        <v>3104845290.71</v>
      </c>
      <c r="AK341" s="34">
        <f t="shared" si="111"/>
        <v>75.19954523224932</v>
      </c>
    </row>
    <row r="342" spans="1:37" s="36" customFormat="1" ht="11.25">
      <c r="A342" s="8">
        <v>4130</v>
      </c>
      <c r="C342" s="36" t="s">
        <v>486</v>
      </c>
      <c r="D342" s="37"/>
      <c r="E342" s="37"/>
      <c r="F342" s="37"/>
      <c r="G342" s="37"/>
      <c r="H342" s="37"/>
      <c r="I342" s="37"/>
      <c r="J342" s="37"/>
      <c r="K342" s="37"/>
      <c r="L342" s="37">
        <f>'[1]odhodki-post-konti (2)'!AM1397</f>
        <v>45500000</v>
      </c>
      <c r="M342" s="37"/>
      <c r="N342" s="37">
        <v>48329990.04</v>
      </c>
      <c r="O342" s="39">
        <f>N342/L342*100</f>
        <v>106.21975832967033</v>
      </c>
      <c r="P342" s="37">
        <f>'[1]odhodki-post-konti'!AM1410</f>
        <v>36500000</v>
      </c>
      <c r="Q342" s="39"/>
      <c r="R342" s="39">
        <f>P342/L342*100</f>
        <v>80.21978021978022</v>
      </c>
      <c r="S342" s="39">
        <f>P342/N342*100</f>
        <v>75.52246538803549</v>
      </c>
      <c r="T342" s="37">
        <f>'[1]odhodki-post-konti'!AM1410</f>
        <v>36500000</v>
      </c>
      <c r="U342" s="37">
        <f>'[1]odhodki-post-konti'!AM1410</f>
        <v>36500000</v>
      </c>
      <c r="V342" s="37">
        <f>U342-P342</f>
        <v>0</v>
      </c>
      <c r="W342" s="37"/>
      <c r="X342" s="37"/>
      <c r="Y342" s="37">
        <v>30258</v>
      </c>
      <c r="Z342" s="88">
        <f>+Y342/P342*100</f>
        <v>0.0828986301369863</v>
      </c>
      <c r="AA342" s="88"/>
      <c r="AB342" s="37">
        <v>2332623</v>
      </c>
      <c r="AC342" s="88">
        <f t="shared" si="113"/>
        <v>6.39074794520548</v>
      </c>
      <c r="AD342" s="37">
        <v>10059626.5</v>
      </c>
      <c r="AE342" s="88">
        <f t="shared" si="114"/>
        <v>27.56062054794521</v>
      </c>
      <c r="AF342" s="88"/>
      <c r="AG342" s="37">
        <v>36500000</v>
      </c>
      <c r="AH342" s="88">
        <v>11626131.5</v>
      </c>
      <c r="AI342" s="39">
        <f>+AH342/AG342*100</f>
        <v>31.85241506849315</v>
      </c>
      <c r="AJ342" s="88">
        <v>18441976.5</v>
      </c>
      <c r="AK342" s="39">
        <f t="shared" si="111"/>
        <v>50.52596301369863</v>
      </c>
    </row>
    <row r="343" spans="1:37" s="36" customFormat="1" ht="11.25">
      <c r="A343" s="8">
        <v>4131</v>
      </c>
      <c r="C343" s="36" t="s">
        <v>487</v>
      </c>
      <c r="D343" s="37"/>
      <c r="E343" s="37"/>
      <c r="F343" s="37"/>
      <c r="G343" s="37"/>
      <c r="H343" s="37"/>
      <c r="I343" s="37"/>
      <c r="J343" s="37"/>
      <c r="K343" s="37"/>
      <c r="L343" s="37">
        <f>'[1]odhodki-post-konti (2)'!AN1397</f>
        <v>130000000</v>
      </c>
      <c r="M343" s="37"/>
      <c r="N343" s="37">
        <v>127430600</v>
      </c>
      <c r="O343" s="39">
        <f>N343/L343*100</f>
        <v>98.02353846153846</v>
      </c>
      <c r="P343" s="37">
        <f>'[1]odhodki-post-konti'!AN1410</f>
        <v>133836400</v>
      </c>
      <c r="Q343" s="39"/>
      <c r="R343" s="39">
        <f>P343/L343*100</f>
        <v>102.95107692307693</v>
      </c>
      <c r="S343" s="39">
        <f>P343/N343*100</f>
        <v>105.02689306963948</v>
      </c>
      <c r="T343" s="37">
        <f>'[1]odhodki-post-konti'!AN1410</f>
        <v>133836400</v>
      </c>
      <c r="U343" s="37">
        <f>'[1]odhodki-post-konti'!AN1410</f>
        <v>133836400</v>
      </c>
      <c r="V343" s="37">
        <f>U343-P343</f>
        <v>0</v>
      </c>
      <c r="W343" s="37"/>
      <c r="X343" s="37"/>
      <c r="Y343" s="37">
        <v>11472860</v>
      </c>
      <c r="Z343" s="88">
        <f>+Y343/P343*100</f>
        <v>8.572301705664529</v>
      </c>
      <c r="AA343" s="88"/>
      <c r="AB343" s="37">
        <v>22998780</v>
      </c>
      <c r="AC343" s="88">
        <f t="shared" si="113"/>
        <v>17.18424882916755</v>
      </c>
      <c r="AD343" s="37">
        <v>45204380</v>
      </c>
      <c r="AE343" s="88">
        <f t="shared" si="114"/>
        <v>33.77584872276899</v>
      </c>
      <c r="AF343" s="88"/>
      <c r="AG343" s="37">
        <v>133836400</v>
      </c>
      <c r="AH343" s="88">
        <v>55825020</v>
      </c>
      <c r="AI343" s="39">
        <f>+AH343/AG343*100</f>
        <v>41.71138793332755</v>
      </c>
      <c r="AJ343" s="88">
        <v>66265260</v>
      </c>
      <c r="AK343" s="39">
        <f t="shared" si="111"/>
        <v>49.51213571195878</v>
      </c>
    </row>
    <row r="344" spans="1:37" s="36" customFormat="1" ht="11.25">
      <c r="A344" s="8">
        <v>4132</v>
      </c>
      <c r="C344" s="36" t="s">
        <v>488</v>
      </c>
      <c r="D344" s="37"/>
      <c r="E344" s="37"/>
      <c r="F344" s="37"/>
      <c r="G344" s="37"/>
      <c r="H344" s="37"/>
      <c r="I344" s="37"/>
      <c r="J344" s="37"/>
      <c r="K344" s="37"/>
      <c r="L344" s="37">
        <f>'[1]odhodki-post-konti (2)'!AO1397</f>
        <v>312200000</v>
      </c>
      <c r="M344" s="37"/>
      <c r="N344" s="37">
        <v>457028800.5</v>
      </c>
      <c r="O344" s="39">
        <f>N344/L344*100</f>
        <v>146.38975032030748</v>
      </c>
      <c r="P344" s="37">
        <f>'[1]odhodki-post-konti'!AO1410</f>
        <v>384720000</v>
      </c>
      <c r="Q344" s="39"/>
      <c r="R344" s="39">
        <f>P344/L344*100</f>
        <v>123.22869955156949</v>
      </c>
      <c r="S344" s="39">
        <f>P344/N344*100</f>
        <v>84.17850244428962</v>
      </c>
      <c r="T344" s="37">
        <f>'[1]odhodki-post-konti'!AO1410</f>
        <v>384720000</v>
      </c>
      <c r="U344" s="37">
        <f>'[1]odhodki-post-konti'!AO1410</f>
        <v>384720000</v>
      </c>
      <c r="V344" s="37">
        <f>U344-P344</f>
        <v>0</v>
      </c>
      <c r="W344" s="37"/>
      <c r="X344" s="37"/>
      <c r="Y344" s="37">
        <v>40261386.51</v>
      </c>
      <c r="Z344" s="88">
        <f>+Y344/P344*100</f>
        <v>10.465113981597005</v>
      </c>
      <c r="AA344" s="88"/>
      <c r="AB344" s="37">
        <v>74786522.44</v>
      </c>
      <c r="AC344" s="88">
        <f t="shared" si="113"/>
        <v>19.439208369723435</v>
      </c>
      <c r="AD344" s="37">
        <v>144927589.89</v>
      </c>
      <c r="AE344" s="88">
        <f t="shared" si="114"/>
        <v>37.67092687928883</v>
      </c>
      <c r="AF344" s="88"/>
      <c r="AG344" s="37">
        <v>457300000</v>
      </c>
      <c r="AH344" s="88">
        <v>172499886.08</v>
      </c>
      <c r="AI344" s="39">
        <f>+AH344/AG344*100</f>
        <v>37.721383354471904</v>
      </c>
      <c r="AJ344" s="88">
        <v>188518692.22</v>
      </c>
      <c r="AK344" s="39">
        <f t="shared" si="111"/>
        <v>41.22429307238137</v>
      </c>
    </row>
    <row r="345" spans="1:37" s="36" customFormat="1" ht="11.25">
      <c r="A345" s="8">
        <v>4133</v>
      </c>
      <c r="C345" s="36" t="s">
        <v>489</v>
      </c>
      <c r="D345" s="37"/>
      <c r="E345" s="37"/>
      <c r="F345" s="37"/>
      <c r="G345" s="37"/>
      <c r="H345" s="37"/>
      <c r="I345" s="37"/>
      <c r="J345" s="37"/>
      <c r="K345" s="37"/>
      <c r="L345" s="37">
        <f>3151928485+173669900</f>
        <v>3325598385</v>
      </c>
      <c r="M345" s="37"/>
      <c r="N345" s="37">
        <v>5009823522.27</v>
      </c>
      <c r="O345" s="39">
        <f>N345/L345*100</f>
        <v>150.6442733694676</v>
      </c>
      <c r="P345" s="37">
        <f>'[1]odhodki-post-konti'!AP1410</f>
        <v>3084996900</v>
      </c>
      <c r="Q345" s="39"/>
      <c r="R345" s="39">
        <f>P345/L345*100</f>
        <v>92.76516713247081</v>
      </c>
      <c r="S345" s="39">
        <f>P345/N345*100</f>
        <v>61.5789535556765</v>
      </c>
      <c r="T345" s="37">
        <f>'[1]odhodki-post-konti'!AP1410</f>
        <v>3084996900</v>
      </c>
      <c r="U345" s="37">
        <f>'[1]odhodki-post-konti'!AP1410</f>
        <v>3084996900</v>
      </c>
      <c r="V345" s="37">
        <f>U345-P345</f>
        <v>0</v>
      </c>
      <c r="W345" s="37"/>
      <c r="X345" s="37"/>
      <c r="Y345" s="37">
        <v>441828474.4</v>
      </c>
      <c r="Z345" s="88">
        <f>+Y345/P345*100</f>
        <v>14.321845004123018</v>
      </c>
      <c r="AA345" s="88"/>
      <c r="AB345" s="37">
        <v>901898479.68</v>
      </c>
      <c r="AC345" s="88">
        <f t="shared" si="113"/>
        <v>29.234988199826066</v>
      </c>
      <c r="AD345" s="37">
        <v>1844715202.88</v>
      </c>
      <c r="AE345" s="88">
        <f t="shared" si="114"/>
        <v>59.796338948671234</v>
      </c>
      <c r="AF345" s="88"/>
      <c r="AG345" s="37">
        <v>3501172200</v>
      </c>
      <c r="AH345" s="88">
        <v>2400949842.68</v>
      </c>
      <c r="AI345" s="39">
        <f>+AH345/AG345*100</f>
        <v>68.57559998562766</v>
      </c>
      <c r="AJ345" s="88">
        <f>2818349468.11+1643087.38+11626806.5</f>
        <v>2831619361.9900002</v>
      </c>
      <c r="AK345" s="39">
        <f t="shared" si="111"/>
        <v>80.87632370638612</v>
      </c>
    </row>
    <row r="346" spans="1:37" ht="12.75">
      <c r="A346" s="28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6"/>
      <c r="P346" s="25"/>
      <c r="Q346" s="26"/>
      <c r="R346" s="26"/>
      <c r="S346" s="26"/>
      <c r="T346" s="25"/>
      <c r="U346" s="25"/>
      <c r="V346" s="25"/>
      <c r="W346" s="25"/>
      <c r="X346" s="25"/>
      <c r="Y346" s="25"/>
      <c r="Z346" s="94"/>
      <c r="AA346" s="89"/>
      <c r="AB346" s="25"/>
      <c r="AC346" s="94"/>
      <c r="AD346" s="25"/>
      <c r="AE346" s="94"/>
      <c r="AF346" s="94"/>
      <c r="AH346" s="89"/>
      <c r="AI346" s="26"/>
      <c r="AJ346" s="89"/>
      <c r="AK346" s="26"/>
    </row>
    <row r="347" spans="1:37" s="31" customFormat="1" ht="12.75">
      <c r="A347" s="30">
        <v>414</v>
      </c>
      <c r="C347" s="31" t="s">
        <v>490</v>
      </c>
      <c r="D347" s="32"/>
      <c r="E347" s="32"/>
      <c r="F347" s="32"/>
      <c r="G347" s="32"/>
      <c r="H347" s="32">
        <f>H350</f>
        <v>0</v>
      </c>
      <c r="I347" s="32"/>
      <c r="J347" s="32"/>
      <c r="K347" s="32"/>
      <c r="L347" s="32">
        <f>SUM(L348:L350)</f>
        <v>0</v>
      </c>
      <c r="M347" s="32">
        <f>SUM(M348:M350)</f>
        <v>0</v>
      </c>
      <c r="N347" s="32">
        <f>SUM(N348:N350)</f>
        <v>233352.11000000002</v>
      </c>
      <c r="O347" s="34"/>
      <c r="P347" s="32">
        <f>P350</f>
        <v>200000</v>
      </c>
      <c r="Q347" s="32">
        <f aca="true" t="shared" si="117" ref="Q347:AH347">Q350</f>
        <v>0</v>
      </c>
      <c r="R347" s="32">
        <f t="shared" si="117"/>
        <v>0</v>
      </c>
      <c r="S347" s="32">
        <f t="shared" si="117"/>
        <v>128.56361465859192</v>
      </c>
      <c r="T347" s="32">
        <f t="shared" si="117"/>
        <v>200000</v>
      </c>
      <c r="U347" s="32">
        <f t="shared" si="117"/>
        <v>200000</v>
      </c>
      <c r="V347" s="32">
        <f t="shared" si="117"/>
        <v>0</v>
      </c>
      <c r="W347" s="32">
        <f t="shared" si="117"/>
        <v>0</v>
      </c>
      <c r="X347" s="32">
        <f t="shared" si="117"/>
        <v>0</v>
      </c>
      <c r="Y347" s="32">
        <f t="shared" si="117"/>
        <v>0</v>
      </c>
      <c r="Z347" s="32">
        <f t="shared" si="117"/>
        <v>0</v>
      </c>
      <c r="AA347" s="32">
        <f t="shared" si="117"/>
        <v>0</v>
      </c>
      <c r="AB347" s="32">
        <f t="shared" si="117"/>
        <v>0</v>
      </c>
      <c r="AC347" s="32">
        <f t="shared" si="117"/>
        <v>0</v>
      </c>
      <c r="AD347" s="32">
        <f t="shared" si="117"/>
        <v>49986.04</v>
      </c>
      <c r="AE347" s="32">
        <f t="shared" si="117"/>
        <v>24.993019999999998</v>
      </c>
      <c r="AF347" s="32"/>
      <c r="AG347" s="32">
        <f t="shared" si="117"/>
        <v>200000</v>
      </c>
      <c r="AH347" s="87">
        <f t="shared" si="117"/>
        <v>49986.04</v>
      </c>
      <c r="AI347" s="34">
        <f>+AH347/AG347*100</f>
        <v>24.993019999999998</v>
      </c>
      <c r="AJ347" s="87">
        <f>+AJ349+AJ350</f>
        <v>8349453.2700000005</v>
      </c>
      <c r="AK347" s="34">
        <f t="shared" si="111"/>
        <v>4174.726635</v>
      </c>
    </row>
    <row r="348" spans="1:37" s="20" customFormat="1" ht="12.75" hidden="1">
      <c r="A348" s="60">
        <v>4140</v>
      </c>
      <c r="C348" s="20" t="s">
        <v>491</v>
      </c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>
        <v>77787.1</v>
      </c>
      <c r="O348" s="23"/>
      <c r="P348" s="21"/>
      <c r="Q348" s="23"/>
      <c r="R348" s="23"/>
      <c r="S348" s="23">
        <f>P348/N348*100</f>
        <v>0</v>
      </c>
      <c r="T348" s="21"/>
      <c r="U348" s="21"/>
      <c r="V348" s="21">
        <f>U348-P348</f>
        <v>0</v>
      </c>
      <c r="W348" s="21"/>
      <c r="X348" s="21"/>
      <c r="Y348" s="21">
        <v>0</v>
      </c>
      <c r="Z348" s="94"/>
      <c r="AA348" s="94"/>
      <c r="AB348" s="21">
        <v>0</v>
      </c>
      <c r="AC348" s="94" t="e">
        <f t="shared" si="113"/>
        <v>#DIV/0!</v>
      </c>
      <c r="AD348" s="21">
        <v>0</v>
      </c>
      <c r="AE348" s="94" t="e">
        <f t="shared" si="114"/>
        <v>#DIV/0!</v>
      </c>
      <c r="AF348" s="94"/>
      <c r="AG348" s="25"/>
      <c r="AH348" s="94"/>
      <c r="AI348" s="23" t="e">
        <f>+AH348/AG348*100</f>
        <v>#DIV/0!</v>
      </c>
      <c r="AJ348" s="94"/>
      <c r="AK348" s="23" t="e">
        <f t="shared" si="111"/>
        <v>#DIV/0!</v>
      </c>
    </row>
    <row r="349" spans="1:37" s="36" customFormat="1" ht="11.25">
      <c r="A349" s="8">
        <v>4141</v>
      </c>
      <c r="C349" s="36" t="s">
        <v>611</v>
      </c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9"/>
      <c r="P349" s="37"/>
      <c r="Q349" s="39"/>
      <c r="R349" s="39"/>
      <c r="S349" s="39"/>
      <c r="T349" s="37"/>
      <c r="U349" s="37"/>
      <c r="V349" s="37"/>
      <c r="W349" s="37"/>
      <c r="X349" s="37"/>
      <c r="Y349" s="37"/>
      <c r="Z349" s="88"/>
      <c r="AA349" s="88"/>
      <c r="AB349" s="37"/>
      <c r="AC349" s="88"/>
      <c r="AD349" s="37"/>
      <c r="AE349" s="88"/>
      <c r="AF349" s="88"/>
      <c r="AG349" s="37"/>
      <c r="AH349" s="88"/>
      <c r="AI349" s="39"/>
      <c r="AJ349" s="88">
        <v>8135183.87</v>
      </c>
      <c r="AK349" s="39"/>
    </row>
    <row r="350" spans="1:37" s="36" customFormat="1" ht="11.25">
      <c r="A350" s="8">
        <v>4142</v>
      </c>
      <c r="C350" s="36" t="s">
        <v>492</v>
      </c>
      <c r="D350" s="37"/>
      <c r="E350" s="37"/>
      <c r="F350" s="37"/>
      <c r="G350" s="37"/>
      <c r="H350" s="37"/>
      <c r="I350" s="37"/>
      <c r="J350" s="37"/>
      <c r="K350" s="37"/>
      <c r="L350" s="37">
        <f>'[1]odhodki-post-konti (2)'!AQ1397</f>
        <v>0</v>
      </c>
      <c r="M350" s="37"/>
      <c r="N350" s="37">
        <v>155565.01</v>
      </c>
      <c r="O350" s="39"/>
      <c r="P350" s="37">
        <f>'[1]odhodki-post-konti'!AQ1410</f>
        <v>200000</v>
      </c>
      <c r="Q350" s="39"/>
      <c r="R350" s="39"/>
      <c r="S350" s="39">
        <f>P350/N350*100</f>
        <v>128.56361465859192</v>
      </c>
      <c r="T350" s="37">
        <f>'[1]odhodki-post-konti'!AQ1410</f>
        <v>200000</v>
      </c>
      <c r="U350" s="37">
        <f>'[1]odhodki-post-konti'!AQ1410</f>
        <v>200000</v>
      </c>
      <c r="V350" s="37">
        <f>U350-P350</f>
        <v>0</v>
      </c>
      <c r="W350" s="37"/>
      <c r="X350" s="37"/>
      <c r="Y350" s="37">
        <v>0</v>
      </c>
      <c r="Z350" s="88">
        <f>+Y350/P350*100</f>
        <v>0</v>
      </c>
      <c r="AA350" s="88"/>
      <c r="AB350" s="37">
        <v>0</v>
      </c>
      <c r="AC350" s="88">
        <f t="shared" si="113"/>
        <v>0</v>
      </c>
      <c r="AD350" s="37">
        <v>49986.04</v>
      </c>
      <c r="AE350" s="88">
        <f t="shared" si="114"/>
        <v>24.993019999999998</v>
      </c>
      <c r="AF350" s="88"/>
      <c r="AG350" s="37">
        <v>200000</v>
      </c>
      <c r="AH350" s="88">
        <v>49986.04</v>
      </c>
      <c r="AI350" s="39">
        <f>+AH350/AG350*100</f>
        <v>24.993019999999998</v>
      </c>
      <c r="AJ350" s="88">
        <v>214269.4</v>
      </c>
      <c r="AK350" s="39">
        <f t="shared" si="111"/>
        <v>107.13470000000001</v>
      </c>
    </row>
    <row r="351" spans="1:37" ht="12.75">
      <c r="A351" s="28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6"/>
      <c r="P351" s="25"/>
      <c r="Q351" s="26"/>
      <c r="R351" s="26"/>
      <c r="S351" s="26"/>
      <c r="T351" s="25"/>
      <c r="U351" s="25"/>
      <c r="V351" s="25"/>
      <c r="W351" s="25"/>
      <c r="X351" s="25"/>
      <c r="Y351" s="25"/>
      <c r="Z351" s="94"/>
      <c r="AA351" s="89"/>
      <c r="AB351" s="25"/>
      <c r="AC351" s="94"/>
      <c r="AD351" s="25"/>
      <c r="AE351" s="94"/>
      <c r="AF351" s="94"/>
      <c r="AH351" s="89"/>
      <c r="AI351" s="26"/>
      <c r="AJ351" s="89"/>
      <c r="AK351" s="26"/>
    </row>
    <row r="352" spans="1:37" s="47" customFormat="1" ht="15.75">
      <c r="A352" s="46">
        <v>42</v>
      </c>
      <c r="C352" s="47" t="s">
        <v>493</v>
      </c>
      <c r="D352" s="15">
        <f>D354</f>
        <v>0</v>
      </c>
      <c r="E352" s="15">
        <f>E354</f>
        <v>0</v>
      </c>
      <c r="F352" s="15"/>
      <c r="G352" s="15">
        <f>G354</f>
        <v>0</v>
      </c>
      <c r="H352" s="15">
        <f>H354</f>
        <v>0</v>
      </c>
      <c r="I352" s="15"/>
      <c r="J352" s="15">
        <f>J354</f>
        <v>0</v>
      </c>
      <c r="K352" s="15">
        <f>K354</f>
        <v>0</v>
      </c>
      <c r="L352" s="15">
        <f>L354</f>
        <v>1346078011</v>
      </c>
      <c r="M352" s="15"/>
      <c r="N352" s="15">
        <f>N354</f>
        <v>2216701272.87</v>
      </c>
      <c r="O352" s="16">
        <f>N352/L352*100</f>
        <v>164.67851452555968</v>
      </c>
      <c r="P352" s="15">
        <f>P354</f>
        <v>1465673700</v>
      </c>
      <c r="Q352" s="15">
        <f aca="true" t="shared" si="118" ref="Q352:AH352">Q354</f>
        <v>0</v>
      </c>
      <c r="R352" s="15" t="e">
        <f t="shared" si="118"/>
        <v>#DIV/0!</v>
      </c>
      <c r="S352" s="15">
        <f t="shared" si="118"/>
        <v>988.6116426744579</v>
      </c>
      <c r="T352" s="15">
        <f t="shared" si="118"/>
        <v>1465673700</v>
      </c>
      <c r="U352" s="15">
        <f t="shared" si="118"/>
        <v>1465673700</v>
      </c>
      <c r="V352" s="15">
        <f t="shared" si="118"/>
        <v>0</v>
      </c>
      <c r="W352" s="15">
        <f t="shared" si="118"/>
        <v>0</v>
      </c>
      <c r="X352" s="15">
        <f t="shared" si="118"/>
        <v>0</v>
      </c>
      <c r="Y352" s="15">
        <f t="shared" si="118"/>
        <v>59006453.849999994</v>
      </c>
      <c r="Z352" s="15">
        <f t="shared" si="118"/>
        <v>29.396647053679516</v>
      </c>
      <c r="AA352" s="15">
        <f t="shared" si="118"/>
        <v>0</v>
      </c>
      <c r="AB352" s="15">
        <f t="shared" si="118"/>
        <v>99961900.51</v>
      </c>
      <c r="AC352" s="15" t="e">
        <f t="shared" si="118"/>
        <v>#DIV/0!</v>
      </c>
      <c r="AD352" s="15">
        <f t="shared" si="118"/>
        <v>228833911.84000003</v>
      </c>
      <c r="AE352" s="15" t="e">
        <f t="shared" si="118"/>
        <v>#DIV/0!</v>
      </c>
      <c r="AF352" s="15"/>
      <c r="AG352" s="15">
        <f t="shared" si="118"/>
        <v>1601191760</v>
      </c>
      <c r="AH352" s="91">
        <f t="shared" si="118"/>
        <v>289769674.94</v>
      </c>
      <c r="AI352" s="16">
        <f>+AH352/AG352*100</f>
        <v>18.097125040163835</v>
      </c>
      <c r="AJ352" s="91">
        <f>AJ354</f>
        <v>381826214.72999996</v>
      </c>
      <c r="AK352" s="16">
        <f t="shared" si="111"/>
        <v>23.846376447128353</v>
      </c>
    </row>
    <row r="353" spans="1:37" ht="12.75">
      <c r="A353" s="28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6"/>
      <c r="P353" s="25"/>
      <c r="Q353" s="26"/>
      <c r="R353" s="26"/>
      <c r="S353" s="26"/>
      <c r="T353" s="25"/>
      <c r="U353" s="25"/>
      <c r="V353" s="25"/>
      <c r="W353" s="25"/>
      <c r="X353" s="25"/>
      <c r="Y353" s="25"/>
      <c r="Z353" s="94"/>
      <c r="AA353" s="89"/>
      <c r="AB353" s="25"/>
      <c r="AC353" s="94"/>
      <c r="AD353" s="25"/>
      <c r="AE353" s="94"/>
      <c r="AF353" s="94"/>
      <c r="AH353" s="89"/>
      <c r="AI353" s="26"/>
      <c r="AJ353" s="89"/>
      <c r="AK353" s="26"/>
    </row>
    <row r="354" spans="1:37" s="31" customFormat="1" ht="12.75">
      <c r="A354" s="30">
        <v>420</v>
      </c>
      <c r="C354" s="31" t="s">
        <v>494</v>
      </c>
      <c r="D354" s="32">
        <f>SUM(D355:D363)</f>
        <v>0</v>
      </c>
      <c r="E354" s="32">
        <f>SUM(E355:E363)</f>
        <v>0</v>
      </c>
      <c r="F354" s="32"/>
      <c r="G354" s="32">
        <f>SUM(G355:G363)</f>
        <v>0</v>
      </c>
      <c r="H354" s="32">
        <f>SUM(H355:H363)</f>
        <v>0</v>
      </c>
      <c r="I354" s="32"/>
      <c r="J354" s="32">
        <f>SUM(J355:J363)</f>
        <v>0</v>
      </c>
      <c r="K354" s="32">
        <f>SUM(K355:K363)</f>
        <v>0</v>
      </c>
      <c r="L354" s="32">
        <f>SUM(L355:L363)</f>
        <v>1346078011</v>
      </c>
      <c r="M354" s="32"/>
      <c r="N354" s="32">
        <f>SUM(N355:N363)</f>
        <v>2216701272.87</v>
      </c>
      <c r="O354" s="34">
        <f>N354/L354*100</f>
        <v>164.67851452555968</v>
      </c>
      <c r="P354" s="32">
        <f>SUM(P355:P363)</f>
        <v>1465673700</v>
      </c>
      <c r="Q354" s="32">
        <f aca="true" t="shared" si="119" ref="Q354:AH354">SUM(Q355:Q363)</f>
        <v>0</v>
      </c>
      <c r="R354" s="32" t="e">
        <f t="shared" si="119"/>
        <v>#DIV/0!</v>
      </c>
      <c r="S354" s="32">
        <f t="shared" si="119"/>
        <v>988.6116426744579</v>
      </c>
      <c r="T354" s="32">
        <f t="shared" si="119"/>
        <v>1465673700</v>
      </c>
      <c r="U354" s="32">
        <f t="shared" si="119"/>
        <v>1465673700</v>
      </c>
      <c r="V354" s="32">
        <f t="shared" si="119"/>
        <v>0</v>
      </c>
      <c r="W354" s="32">
        <f t="shared" si="119"/>
        <v>0</v>
      </c>
      <c r="X354" s="32">
        <f t="shared" si="119"/>
        <v>0</v>
      </c>
      <c r="Y354" s="32">
        <f t="shared" si="119"/>
        <v>59006453.849999994</v>
      </c>
      <c r="Z354" s="32">
        <f t="shared" si="119"/>
        <v>29.396647053679516</v>
      </c>
      <c r="AA354" s="32">
        <f t="shared" si="119"/>
        <v>0</v>
      </c>
      <c r="AB354" s="32">
        <f t="shared" si="119"/>
        <v>99961900.51</v>
      </c>
      <c r="AC354" s="32" t="e">
        <f t="shared" si="119"/>
        <v>#DIV/0!</v>
      </c>
      <c r="AD354" s="32">
        <f t="shared" si="119"/>
        <v>228833911.84000003</v>
      </c>
      <c r="AE354" s="32" t="e">
        <f t="shared" si="119"/>
        <v>#DIV/0!</v>
      </c>
      <c r="AF354" s="32"/>
      <c r="AG354" s="32">
        <f t="shared" si="119"/>
        <v>1601191760</v>
      </c>
      <c r="AH354" s="87">
        <f t="shared" si="119"/>
        <v>289769674.94</v>
      </c>
      <c r="AI354" s="34">
        <f aca="true" t="shared" si="120" ref="AI354:AI363">+AH354/AG354*100</f>
        <v>18.097125040163835</v>
      </c>
      <c r="AJ354" s="87">
        <f>SUM(AJ355:AJ363)</f>
        <v>381826214.72999996</v>
      </c>
      <c r="AK354" s="34">
        <f t="shared" si="111"/>
        <v>23.846376447128353</v>
      </c>
    </row>
    <row r="355" spans="1:37" ht="12.75" hidden="1">
      <c r="A355" s="28">
        <v>4200</v>
      </c>
      <c r="C355" t="s">
        <v>495</v>
      </c>
      <c r="D355" s="25"/>
      <c r="E355" s="25"/>
      <c r="F355" s="25"/>
      <c r="G355" s="25"/>
      <c r="H355" s="25"/>
      <c r="I355" s="25"/>
      <c r="J355" s="25"/>
      <c r="K355" s="25"/>
      <c r="L355" s="25">
        <f>'[1]odhodki-post-konti (2)'!AR1397</f>
        <v>0</v>
      </c>
      <c r="M355" s="25"/>
      <c r="N355" s="25">
        <v>48762203.51</v>
      </c>
      <c r="O355" s="26"/>
      <c r="P355" s="25">
        <f>'[1]odhodki-post-konti'!AR1410</f>
        <v>0</v>
      </c>
      <c r="Q355" s="26"/>
      <c r="R355" s="26" t="e">
        <f aca="true" t="shared" si="121" ref="R355:R361">P355/L355*100</f>
        <v>#DIV/0!</v>
      </c>
      <c r="S355" s="26">
        <f aca="true" t="shared" si="122" ref="S355:S363">P355/N355*100</f>
        <v>0</v>
      </c>
      <c r="T355" s="25">
        <f>'[1]odhodki-post-konti'!AR1410</f>
        <v>0</v>
      </c>
      <c r="U355" s="25">
        <f>'[1]odhodki-post-konti'!AR1410</f>
        <v>0</v>
      </c>
      <c r="V355" s="25">
        <f aca="true" t="shared" si="123" ref="V355:V363">U355-P355</f>
        <v>0</v>
      </c>
      <c r="W355" s="25"/>
      <c r="X355" s="25"/>
      <c r="Y355" s="25">
        <v>0</v>
      </c>
      <c r="Z355" s="94"/>
      <c r="AA355" s="89"/>
      <c r="AB355" s="25">
        <v>0</v>
      </c>
      <c r="AC355" s="94" t="e">
        <f t="shared" si="113"/>
        <v>#DIV/0!</v>
      </c>
      <c r="AD355" s="25">
        <v>0</v>
      </c>
      <c r="AE355" s="94" t="e">
        <f t="shared" si="114"/>
        <v>#DIV/0!</v>
      </c>
      <c r="AF355" s="94"/>
      <c r="AG355" s="25">
        <v>0</v>
      </c>
      <c r="AH355" s="89"/>
      <c r="AI355" s="26" t="e">
        <f t="shared" si="120"/>
        <v>#DIV/0!</v>
      </c>
      <c r="AJ355" s="89"/>
      <c r="AK355" s="26" t="e">
        <f t="shared" si="111"/>
        <v>#DIV/0!</v>
      </c>
    </row>
    <row r="356" spans="1:37" s="36" customFormat="1" ht="11.25">
      <c r="A356" s="8">
        <v>4201</v>
      </c>
      <c r="C356" s="36" t="s">
        <v>496</v>
      </c>
      <c r="D356" s="37"/>
      <c r="E356" s="37"/>
      <c r="F356" s="37"/>
      <c r="G356" s="37"/>
      <c r="H356" s="37"/>
      <c r="I356" s="37"/>
      <c r="J356" s="37"/>
      <c r="K356" s="37"/>
      <c r="L356" s="37">
        <f>'[1]odhodki-post-konti (2)'!AS1397</f>
        <v>108240000</v>
      </c>
      <c r="M356" s="37"/>
      <c r="N356" s="37">
        <v>181043638.47</v>
      </c>
      <c r="O356" s="39">
        <f aca="true" t="shared" si="124" ref="O356:O361">N356/L356*100</f>
        <v>167.26130679046562</v>
      </c>
      <c r="P356" s="37">
        <f>'[1]odhodki-post-konti'!AS1410</f>
        <v>116900000</v>
      </c>
      <c r="Q356" s="39"/>
      <c r="R356" s="39">
        <f t="shared" si="121"/>
        <v>108.00073909830007</v>
      </c>
      <c r="S356" s="39">
        <f t="shared" si="122"/>
        <v>64.57006774053042</v>
      </c>
      <c r="T356" s="37">
        <f>'[1]odhodki-post-konti'!AS1410</f>
        <v>116900000</v>
      </c>
      <c r="U356" s="37">
        <f>'[1]odhodki-post-konti'!AS1410</f>
        <v>116900000</v>
      </c>
      <c r="V356" s="37">
        <f t="shared" si="123"/>
        <v>0</v>
      </c>
      <c r="W356" s="37"/>
      <c r="X356" s="37"/>
      <c r="Y356" s="37">
        <v>10405554.05</v>
      </c>
      <c r="Z356" s="88">
        <f aca="true" t="shared" si="125" ref="Z356:Z361">+Y356/P356*100</f>
        <v>8.90124384088965</v>
      </c>
      <c r="AA356" s="88"/>
      <c r="AB356" s="37">
        <v>20891142.46</v>
      </c>
      <c r="AC356" s="88">
        <f t="shared" si="113"/>
        <v>17.870951633875105</v>
      </c>
      <c r="AD356" s="37">
        <v>42107136.87</v>
      </c>
      <c r="AE356" s="88">
        <f t="shared" si="114"/>
        <v>36.0197920188195</v>
      </c>
      <c r="AF356" s="88"/>
      <c r="AG356" s="37">
        <v>146900000</v>
      </c>
      <c r="AH356" s="88">
        <v>53924716.2</v>
      </c>
      <c r="AI356" s="39">
        <f t="shared" si="120"/>
        <v>36.708452144315864</v>
      </c>
      <c r="AJ356" s="88">
        <v>85831605.16</v>
      </c>
      <c r="AK356" s="39">
        <f t="shared" si="111"/>
        <v>58.42859439074199</v>
      </c>
    </row>
    <row r="357" spans="1:37" s="36" customFormat="1" ht="11.25">
      <c r="A357" s="8">
        <v>4202</v>
      </c>
      <c r="C357" s="36" t="s">
        <v>497</v>
      </c>
      <c r="D357" s="37"/>
      <c r="E357" s="37"/>
      <c r="F357" s="37"/>
      <c r="G357" s="37"/>
      <c r="H357" s="37"/>
      <c r="I357" s="37"/>
      <c r="J357" s="37"/>
      <c r="K357" s="37"/>
      <c r="L357" s="37">
        <f>'[1]odhodki-post-konti (2)'!AT1397</f>
        <v>96257000</v>
      </c>
      <c r="M357" s="37"/>
      <c r="N357" s="37">
        <v>88666563.82</v>
      </c>
      <c r="O357" s="39">
        <f t="shared" si="124"/>
        <v>92.11440603800243</v>
      </c>
      <c r="P357" s="37">
        <f>'[1]odhodki-post-konti'!AT1410</f>
        <v>210014000</v>
      </c>
      <c r="Q357" s="39"/>
      <c r="R357" s="39">
        <f t="shared" si="121"/>
        <v>218.18049596392987</v>
      </c>
      <c r="S357" s="39">
        <f t="shared" si="122"/>
        <v>236.85816947450982</v>
      </c>
      <c r="T357" s="37">
        <f>'[1]odhodki-post-konti'!AT1410</f>
        <v>210014000</v>
      </c>
      <c r="U357" s="37">
        <f>'[1]odhodki-post-konti'!AT1410</f>
        <v>210014000</v>
      </c>
      <c r="V357" s="37">
        <f t="shared" si="123"/>
        <v>0</v>
      </c>
      <c r="W357" s="37"/>
      <c r="X357" s="37"/>
      <c r="Y357" s="37">
        <v>12234080.53</v>
      </c>
      <c r="Z357" s="88">
        <f t="shared" si="125"/>
        <v>5.825364275714952</v>
      </c>
      <c r="AA357" s="88"/>
      <c r="AB357" s="37">
        <v>12439121.52</v>
      </c>
      <c r="AC357" s="88">
        <f t="shared" si="113"/>
        <v>5.922996333577761</v>
      </c>
      <c r="AD357" s="37">
        <v>19655281.62</v>
      </c>
      <c r="AE357" s="88">
        <f t="shared" si="114"/>
        <v>9.359033978687135</v>
      </c>
      <c r="AF357" s="88"/>
      <c r="AG357" s="37">
        <v>134794000</v>
      </c>
      <c r="AH357" s="88">
        <v>25703305.91</v>
      </c>
      <c r="AI357" s="39">
        <f t="shared" si="120"/>
        <v>19.068583104589226</v>
      </c>
      <c r="AJ357" s="88">
        <v>31078850.03</v>
      </c>
      <c r="AK357" s="39">
        <f t="shared" si="111"/>
        <v>23.05655298455421</v>
      </c>
    </row>
    <row r="358" spans="1:37" s="36" customFormat="1" ht="11.25">
      <c r="A358" s="8">
        <v>4203</v>
      </c>
      <c r="C358" s="36" t="s">
        <v>498</v>
      </c>
      <c r="D358" s="37"/>
      <c r="E358" s="37"/>
      <c r="F358" s="37"/>
      <c r="G358" s="37"/>
      <c r="H358" s="37"/>
      <c r="I358" s="37"/>
      <c r="J358" s="37"/>
      <c r="K358" s="37"/>
      <c r="L358" s="37">
        <f>'[1]odhodki-post-konti (2)'!AU1397</f>
        <v>1500000</v>
      </c>
      <c r="M358" s="37"/>
      <c r="N358" s="37">
        <v>4265510.62</v>
      </c>
      <c r="O358" s="39">
        <f t="shared" si="124"/>
        <v>284.36737466666665</v>
      </c>
      <c r="P358" s="37">
        <f>'[1]odhodki-post-konti'!AU1410</f>
        <v>8000000</v>
      </c>
      <c r="Q358" s="39"/>
      <c r="R358" s="39">
        <f t="shared" si="121"/>
        <v>533.3333333333333</v>
      </c>
      <c r="S358" s="39">
        <f t="shared" si="122"/>
        <v>187.5508166007098</v>
      </c>
      <c r="T358" s="37">
        <f>'[1]odhodki-post-konti'!AU1410</f>
        <v>8000000</v>
      </c>
      <c r="U358" s="37">
        <f>'[1]odhodki-post-konti'!AU1410</f>
        <v>8000000</v>
      </c>
      <c r="V358" s="37">
        <f t="shared" si="123"/>
        <v>0</v>
      </c>
      <c r="W358" s="37"/>
      <c r="X358" s="37"/>
      <c r="Y358" s="37">
        <v>0</v>
      </c>
      <c r="Z358" s="88">
        <f t="shared" si="125"/>
        <v>0</v>
      </c>
      <c r="AA358" s="88"/>
      <c r="AB358" s="37">
        <v>0</v>
      </c>
      <c r="AC358" s="88">
        <f t="shared" si="113"/>
        <v>0</v>
      </c>
      <c r="AD358" s="37">
        <v>0</v>
      </c>
      <c r="AE358" s="88">
        <f t="shared" si="114"/>
        <v>0</v>
      </c>
      <c r="AF358" s="88"/>
      <c r="AG358" s="37">
        <v>8000000</v>
      </c>
      <c r="AH358" s="88">
        <v>0</v>
      </c>
      <c r="AI358" s="39">
        <f t="shared" si="120"/>
        <v>0</v>
      </c>
      <c r="AJ358" s="88">
        <v>0</v>
      </c>
      <c r="AK358" s="39">
        <f t="shared" si="111"/>
        <v>0</v>
      </c>
    </row>
    <row r="359" spans="1:37" s="36" customFormat="1" ht="11.25">
      <c r="A359" s="8">
        <v>4204</v>
      </c>
      <c r="C359" s="36" t="s">
        <v>499</v>
      </c>
      <c r="D359" s="37"/>
      <c r="E359" s="37"/>
      <c r="F359" s="37"/>
      <c r="G359" s="37"/>
      <c r="H359" s="37"/>
      <c r="I359" s="37"/>
      <c r="J359" s="37"/>
      <c r="K359" s="37"/>
      <c r="L359" s="37">
        <f>'[1]odhodki-post-konti (2)'!AV1397</f>
        <v>671291275</v>
      </c>
      <c r="M359" s="37"/>
      <c r="N359" s="37">
        <v>1307539988.86</v>
      </c>
      <c r="O359" s="39">
        <f t="shared" si="124"/>
        <v>194.77982770742847</v>
      </c>
      <c r="P359" s="37">
        <f>'[1]odhodki-post-konti'!AV1410</f>
        <v>387714700</v>
      </c>
      <c r="Q359" s="39"/>
      <c r="R359" s="39">
        <f t="shared" si="121"/>
        <v>57.756552846601494</v>
      </c>
      <c r="S359" s="39">
        <f t="shared" si="122"/>
        <v>29.652225041165693</v>
      </c>
      <c r="T359" s="37">
        <f>'[1]odhodki-post-konti'!AV1410</f>
        <v>387714700</v>
      </c>
      <c r="U359" s="37">
        <f>'[1]odhodki-post-konti'!AV1410</f>
        <v>387714700</v>
      </c>
      <c r="V359" s="37">
        <f t="shared" si="123"/>
        <v>0</v>
      </c>
      <c r="W359" s="37"/>
      <c r="X359" s="37"/>
      <c r="Y359" s="37">
        <v>20248266.49</v>
      </c>
      <c r="Z359" s="88">
        <f t="shared" si="125"/>
        <v>5.222465511366991</v>
      </c>
      <c r="AA359" s="88"/>
      <c r="AB359" s="37">
        <v>40307772.69</v>
      </c>
      <c r="AC359" s="88">
        <f t="shared" si="113"/>
        <v>10.396245664660123</v>
      </c>
      <c r="AD359" s="37">
        <v>87972353.82</v>
      </c>
      <c r="AE359" s="88">
        <f t="shared" si="114"/>
        <v>22.689971213369002</v>
      </c>
      <c r="AF359" s="88"/>
      <c r="AG359" s="37">
        <v>547041600</v>
      </c>
      <c r="AH359" s="88">
        <v>97868881.01</v>
      </c>
      <c r="AI359" s="39">
        <f t="shared" si="120"/>
        <v>17.89057377172047</v>
      </c>
      <c r="AJ359" s="88">
        <v>123247299.64</v>
      </c>
      <c r="AK359" s="39">
        <f t="shared" si="111"/>
        <v>22.52978560314243</v>
      </c>
    </row>
    <row r="360" spans="1:37" s="36" customFormat="1" ht="11.25">
      <c r="A360" s="8">
        <v>4205</v>
      </c>
      <c r="C360" s="36" t="s">
        <v>500</v>
      </c>
      <c r="D360" s="37"/>
      <c r="E360" s="37"/>
      <c r="F360" s="37"/>
      <c r="G360" s="37"/>
      <c r="H360" s="37"/>
      <c r="I360" s="37"/>
      <c r="J360" s="37"/>
      <c r="K360" s="37"/>
      <c r="L360" s="37">
        <f>'[1]odhodki-post-konti (2)'!AW1397</f>
        <v>93385800</v>
      </c>
      <c r="M360" s="37"/>
      <c r="N360" s="37">
        <v>167373780.21</v>
      </c>
      <c r="O360" s="39">
        <f t="shared" si="124"/>
        <v>179.22829831730306</v>
      </c>
      <c r="P360" s="37">
        <f>'[1]odhodki-post-konti'!AW1410</f>
        <v>121200000</v>
      </c>
      <c r="Q360" s="39"/>
      <c r="R360" s="39">
        <f t="shared" si="121"/>
        <v>129.78418560423532</v>
      </c>
      <c r="S360" s="39">
        <f t="shared" si="122"/>
        <v>72.41277567366475</v>
      </c>
      <c r="T360" s="37">
        <f>'[1]odhodki-post-konti'!AW1410</f>
        <v>121200000</v>
      </c>
      <c r="U360" s="37">
        <f>'[1]odhodki-post-konti'!AW1410</f>
        <v>121200000</v>
      </c>
      <c r="V360" s="37">
        <f t="shared" si="123"/>
        <v>0</v>
      </c>
      <c r="W360" s="37"/>
      <c r="X360" s="37"/>
      <c r="Y360" s="37">
        <v>8520222.65</v>
      </c>
      <c r="Z360" s="88">
        <f t="shared" si="125"/>
        <v>7.029886674917492</v>
      </c>
      <c r="AA360" s="88"/>
      <c r="AB360" s="37">
        <v>16000130.11</v>
      </c>
      <c r="AC360" s="88">
        <f t="shared" si="113"/>
        <v>13.201427483498348</v>
      </c>
      <c r="AD360" s="37">
        <v>34725726.46</v>
      </c>
      <c r="AE360" s="88">
        <f t="shared" si="114"/>
        <v>28.65158948844885</v>
      </c>
      <c r="AF360" s="88"/>
      <c r="AG360" s="37">
        <v>161355700</v>
      </c>
      <c r="AH360" s="88">
        <v>38071630.51</v>
      </c>
      <c r="AI360" s="39">
        <f t="shared" si="120"/>
        <v>23.59484698092475</v>
      </c>
      <c r="AJ360" s="88">
        <v>39588595.64</v>
      </c>
      <c r="AK360" s="39">
        <f t="shared" si="111"/>
        <v>24.534984286269403</v>
      </c>
    </row>
    <row r="361" spans="1:37" s="36" customFormat="1" ht="11.25">
      <c r="A361" s="8">
        <v>4206</v>
      </c>
      <c r="C361" s="36" t="s">
        <v>501</v>
      </c>
      <c r="D361" s="37"/>
      <c r="E361" s="37"/>
      <c r="F361" s="37"/>
      <c r="G361" s="37"/>
      <c r="H361" s="37"/>
      <c r="I361" s="37"/>
      <c r="J361" s="37"/>
      <c r="K361" s="37"/>
      <c r="L361" s="37">
        <f>'[1]odhodki-post-konti (2)'!AX1397</f>
        <v>215915751</v>
      </c>
      <c r="M361" s="37"/>
      <c r="N361" s="37">
        <v>320220147.86</v>
      </c>
      <c r="O361" s="39">
        <f t="shared" si="124"/>
        <v>148.30791471994092</v>
      </c>
      <c r="P361" s="37">
        <f>'[1]odhodki-post-konti'!AX1410</f>
        <v>349800000</v>
      </c>
      <c r="Q361" s="39"/>
      <c r="R361" s="39">
        <f t="shared" si="121"/>
        <v>162.00763417208967</v>
      </c>
      <c r="S361" s="39">
        <f t="shared" si="122"/>
        <v>109.23734884818437</v>
      </c>
      <c r="T361" s="37">
        <f>'[1]odhodki-post-konti'!AX1410</f>
        <v>349800000</v>
      </c>
      <c r="U361" s="37">
        <f>'[1]odhodki-post-konti'!AX1410</f>
        <v>349800000</v>
      </c>
      <c r="V361" s="37">
        <f t="shared" si="123"/>
        <v>0</v>
      </c>
      <c r="W361" s="37"/>
      <c r="X361" s="37"/>
      <c r="Y361" s="37">
        <v>4593823.5</v>
      </c>
      <c r="Z361" s="88">
        <f t="shared" si="125"/>
        <v>1.3132714408233275</v>
      </c>
      <c r="AA361" s="88"/>
      <c r="AB361" s="37">
        <v>4593823.5</v>
      </c>
      <c r="AC361" s="88">
        <f t="shared" si="113"/>
        <v>1.3132714408233275</v>
      </c>
      <c r="AD361" s="37">
        <v>13613986.05</v>
      </c>
      <c r="AE361" s="88">
        <f t="shared" si="114"/>
        <v>3.8919342624356776</v>
      </c>
      <c r="AF361" s="88"/>
      <c r="AG361" s="37">
        <v>284864760</v>
      </c>
      <c r="AH361" s="88">
        <v>13924839.05</v>
      </c>
      <c r="AI361" s="39">
        <f t="shared" si="120"/>
        <v>4.888228031434987</v>
      </c>
      <c r="AJ361" s="88">
        <v>21110662.74</v>
      </c>
      <c r="AK361" s="39">
        <f t="shared" si="111"/>
        <v>7.410766688024169</v>
      </c>
    </row>
    <row r="362" spans="1:37" s="36" customFormat="1" ht="11.25">
      <c r="A362" s="8">
        <v>4207</v>
      </c>
      <c r="C362" s="36" t="s">
        <v>502</v>
      </c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>
        <v>4477560</v>
      </c>
      <c r="O362" s="39"/>
      <c r="P362" s="37"/>
      <c r="Q362" s="39"/>
      <c r="R362" s="39"/>
      <c r="S362" s="39">
        <f t="shared" si="122"/>
        <v>0</v>
      </c>
      <c r="T362" s="37"/>
      <c r="U362" s="37"/>
      <c r="V362" s="37">
        <f t="shared" si="123"/>
        <v>0</v>
      </c>
      <c r="W362" s="37"/>
      <c r="X362" s="37"/>
      <c r="Y362" s="37">
        <v>0</v>
      </c>
      <c r="Z362" s="88"/>
      <c r="AA362" s="88"/>
      <c r="AB362" s="37">
        <v>0</v>
      </c>
      <c r="AC362" s="88" t="e">
        <f t="shared" si="113"/>
        <v>#DIV/0!</v>
      </c>
      <c r="AD362" s="37">
        <v>0</v>
      </c>
      <c r="AE362" s="88" t="e">
        <f t="shared" si="114"/>
        <v>#DIV/0!</v>
      </c>
      <c r="AF362" s="88"/>
      <c r="AG362" s="37">
        <v>10000000</v>
      </c>
      <c r="AH362" s="88">
        <v>10154519.9</v>
      </c>
      <c r="AI362" s="39">
        <f t="shared" si="120"/>
        <v>101.54519900000001</v>
      </c>
      <c r="AJ362" s="88">
        <v>10154519.9</v>
      </c>
      <c r="AK362" s="39">
        <f t="shared" si="111"/>
        <v>101.54519900000001</v>
      </c>
    </row>
    <row r="363" spans="1:37" s="36" customFormat="1" ht="11.25">
      <c r="A363" s="8">
        <v>4208</v>
      </c>
      <c r="C363" s="36" t="s">
        <v>503</v>
      </c>
      <c r="D363" s="37"/>
      <c r="E363" s="37"/>
      <c r="F363" s="37"/>
      <c r="G363" s="37"/>
      <c r="H363" s="37"/>
      <c r="I363" s="37"/>
      <c r="J363" s="37"/>
      <c r="K363" s="37"/>
      <c r="L363" s="37">
        <f>'[1]odhodki-post-konti (2)'!AY1397</f>
        <v>159488185</v>
      </c>
      <c r="M363" s="37"/>
      <c r="N363" s="37">
        <v>94351879.52</v>
      </c>
      <c r="O363" s="39">
        <f>N363/L363*100</f>
        <v>59.15916562722185</v>
      </c>
      <c r="P363" s="37">
        <f>'[1]odhodki-post-konti'!AY1410</f>
        <v>272045000</v>
      </c>
      <c r="Q363" s="39"/>
      <c r="R363" s="39">
        <f>P363/L363*100</f>
        <v>170.57376381830414</v>
      </c>
      <c r="S363" s="39">
        <f t="shared" si="122"/>
        <v>288.33023929569305</v>
      </c>
      <c r="T363" s="37">
        <f>'[1]odhodki-post-konti'!AY1410</f>
        <v>272045000</v>
      </c>
      <c r="U363" s="37">
        <f>'[1]odhodki-post-konti'!AY1410</f>
        <v>272045000</v>
      </c>
      <c r="V363" s="37">
        <f t="shared" si="123"/>
        <v>0</v>
      </c>
      <c r="W363" s="37"/>
      <c r="X363" s="37"/>
      <c r="Y363" s="37">
        <v>3004506.63</v>
      </c>
      <c r="Z363" s="88">
        <f>+Y363/P363*100</f>
        <v>1.104415309967101</v>
      </c>
      <c r="AA363" s="88"/>
      <c r="AB363" s="37">
        <v>5729910.23</v>
      </c>
      <c r="AC363" s="88">
        <f t="shared" si="113"/>
        <v>2.1062361851899505</v>
      </c>
      <c r="AD363" s="37">
        <v>30759427.02</v>
      </c>
      <c r="AE363" s="88">
        <f t="shared" si="114"/>
        <v>11.306742274256097</v>
      </c>
      <c r="AF363" s="88"/>
      <c r="AG363" s="37">
        <v>308235700</v>
      </c>
      <c r="AH363" s="88">
        <v>50121782.36</v>
      </c>
      <c r="AI363" s="39">
        <f t="shared" si="120"/>
        <v>16.260862177872323</v>
      </c>
      <c r="AJ363" s="88">
        <v>70814681.62</v>
      </c>
      <c r="AK363" s="39">
        <f t="shared" si="111"/>
        <v>22.97419851756302</v>
      </c>
    </row>
    <row r="364" spans="1:37" ht="12.75">
      <c r="A364" s="28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6"/>
      <c r="P364" s="25"/>
      <c r="Q364" s="26"/>
      <c r="R364" s="26"/>
      <c r="S364" s="26"/>
      <c r="T364" s="25"/>
      <c r="U364" s="25"/>
      <c r="V364" s="25"/>
      <c r="W364" s="25"/>
      <c r="X364" s="25"/>
      <c r="Y364" s="25"/>
      <c r="Z364" s="94"/>
      <c r="AA364" s="89"/>
      <c r="AB364" s="25"/>
      <c r="AC364" s="94"/>
      <c r="AD364" s="25"/>
      <c r="AE364" s="94"/>
      <c r="AF364" s="94"/>
      <c r="AH364" s="89"/>
      <c r="AI364" s="26"/>
      <c r="AJ364" s="89"/>
      <c r="AK364" s="26"/>
    </row>
    <row r="365" spans="1:37" s="47" customFormat="1" ht="15.75">
      <c r="A365" s="46">
        <v>43</v>
      </c>
      <c r="C365" s="47" t="s">
        <v>504</v>
      </c>
      <c r="D365" s="15">
        <f>D367</f>
        <v>0</v>
      </c>
      <c r="E365" s="15">
        <f>E367</f>
        <v>0</v>
      </c>
      <c r="F365" s="15"/>
      <c r="G365" s="15">
        <f>G367</f>
        <v>0</v>
      </c>
      <c r="H365" s="15">
        <f>H367</f>
        <v>0</v>
      </c>
      <c r="I365" s="15"/>
      <c r="J365" s="15">
        <f>J367</f>
        <v>0</v>
      </c>
      <c r="K365" s="15">
        <f>K367</f>
        <v>0</v>
      </c>
      <c r="L365" s="15">
        <f>L367</f>
        <v>5159963141</v>
      </c>
      <c r="M365" s="15"/>
      <c r="N365" s="15">
        <f>N367</f>
        <v>1170960739.77</v>
      </c>
      <c r="O365" s="16">
        <f>N365/L365*100</f>
        <v>22.693199694892936</v>
      </c>
      <c r="P365" s="15">
        <f>P367</f>
        <v>4853710200</v>
      </c>
      <c r="Q365" s="15">
        <f aca="true" t="shared" si="126" ref="Q365:AH365">Q367</f>
        <v>0</v>
      </c>
      <c r="R365" s="15">
        <f t="shared" si="126"/>
        <v>268.18154554119104</v>
      </c>
      <c r="S365" s="15">
        <f t="shared" si="126"/>
        <v>1216.9035607378041</v>
      </c>
      <c r="T365" s="15">
        <f t="shared" si="126"/>
        <v>4853710200</v>
      </c>
      <c r="U365" s="15">
        <f t="shared" si="126"/>
        <v>4853710200</v>
      </c>
      <c r="V365" s="15">
        <f t="shared" si="126"/>
        <v>0</v>
      </c>
      <c r="W365" s="15">
        <f t="shared" si="126"/>
        <v>0</v>
      </c>
      <c r="X365" s="15">
        <f t="shared" si="126"/>
        <v>0</v>
      </c>
      <c r="Y365" s="15">
        <f t="shared" si="126"/>
        <v>184035905.57999998</v>
      </c>
      <c r="Z365" s="15">
        <f t="shared" si="126"/>
        <v>14.264409345787634</v>
      </c>
      <c r="AA365" s="15">
        <f t="shared" si="126"/>
        <v>0</v>
      </c>
      <c r="AB365" s="15">
        <f t="shared" si="126"/>
        <v>230115202.89</v>
      </c>
      <c r="AC365" s="15" t="e">
        <f t="shared" si="126"/>
        <v>#DIV/0!</v>
      </c>
      <c r="AD365" s="15">
        <f t="shared" si="126"/>
        <v>470641678.55</v>
      </c>
      <c r="AE365" s="15" t="e">
        <f t="shared" si="126"/>
        <v>#DIV/0!</v>
      </c>
      <c r="AF365" s="15"/>
      <c r="AG365" s="15">
        <f t="shared" si="126"/>
        <v>5471842340</v>
      </c>
      <c r="AH365" s="91">
        <f t="shared" si="126"/>
        <v>700458481.3</v>
      </c>
      <c r="AI365" s="16">
        <f>+AH365/AG365*100</f>
        <v>12.801145167863151</v>
      </c>
      <c r="AJ365" s="91">
        <f>AJ367</f>
        <v>1041568684.4300001</v>
      </c>
      <c r="AK365" s="16">
        <f t="shared" si="111"/>
        <v>19.035063872655368</v>
      </c>
    </row>
    <row r="366" spans="1:37" ht="12.75">
      <c r="A366" s="28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6"/>
      <c r="P366" s="25"/>
      <c r="Q366" s="26"/>
      <c r="R366" s="26"/>
      <c r="S366" s="26"/>
      <c r="T366" s="25"/>
      <c r="U366" s="25"/>
      <c r="V366" s="25"/>
      <c r="W366" s="25"/>
      <c r="X366" s="25"/>
      <c r="Y366" s="25"/>
      <c r="Z366" s="94"/>
      <c r="AA366" s="89"/>
      <c r="AB366" s="25"/>
      <c r="AC366" s="94"/>
      <c r="AD366" s="25"/>
      <c r="AE366" s="94"/>
      <c r="AF366" s="94"/>
      <c r="AH366" s="89"/>
      <c r="AI366" s="26"/>
      <c r="AJ366" s="89"/>
      <c r="AK366" s="26"/>
    </row>
    <row r="367" spans="1:37" s="31" customFormat="1" ht="12.75">
      <c r="A367" s="30">
        <v>430</v>
      </c>
      <c r="C367" s="31" t="s">
        <v>505</v>
      </c>
      <c r="D367" s="32">
        <f>SUM(D368:D376)</f>
        <v>0</v>
      </c>
      <c r="E367" s="32">
        <f>SUM(E368:E376)</f>
        <v>0</v>
      </c>
      <c r="F367" s="32"/>
      <c r="G367" s="32">
        <f>SUM(G368:G376)</f>
        <v>0</v>
      </c>
      <c r="H367" s="32">
        <f>SUM(H368:H376)</f>
        <v>0</v>
      </c>
      <c r="I367" s="32"/>
      <c r="J367" s="32">
        <f>SUM(J368:J376)</f>
        <v>0</v>
      </c>
      <c r="K367" s="32">
        <f>SUM(K368:K376)</f>
        <v>0</v>
      </c>
      <c r="L367" s="32">
        <f>SUM(L368:L376)</f>
        <v>5159963141</v>
      </c>
      <c r="M367" s="32"/>
      <c r="N367" s="32">
        <f>SUM(N368:N376)</f>
        <v>1170960739.77</v>
      </c>
      <c r="O367" s="34">
        <f>N367/L367*100</f>
        <v>22.693199694892936</v>
      </c>
      <c r="P367" s="32">
        <f>SUM(P368:P376)</f>
        <v>4853710200</v>
      </c>
      <c r="Q367" s="32">
        <f aca="true" t="shared" si="127" ref="Q367:AH367">SUM(Q368:Q376)</f>
        <v>0</v>
      </c>
      <c r="R367" s="32">
        <f t="shared" si="127"/>
        <v>268.18154554119104</v>
      </c>
      <c r="S367" s="32">
        <f t="shared" si="127"/>
        <v>1216.9035607378041</v>
      </c>
      <c r="T367" s="32">
        <f t="shared" si="127"/>
        <v>4853710200</v>
      </c>
      <c r="U367" s="32">
        <f t="shared" si="127"/>
        <v>4853710200</v>
      </c>
      <c r="V367" s="32">
        <f t="shared" si="127"/>
        <v>0</v>
      </c>
      <c r="W367" s="32">
        <f t="shared" si="127"/>
        <v>0</v>
      </c>
      <c r="X367" s="32">
        <f t="shared" si="127"/>
        <v>0</v>
      </c>
      <c r="Y367" s="32">
        <f t="shared" si="127"/>
        <v>184035905.57999998</v>
      </c>
      <c r="Z367" s="32">
        <f t="shared" si="127"/>
        <v>14.264409345787634</v>
      </c>
      <c r="AA367" s="32">
        <f t="shared" si="127"/>
        <v>0</v>
      </c>
      <c r="AB367" s="32">
        <f t="shared" si="127"/>
        <v>230115202.89</v>
      </c>
      <c r="AC367" s="32" t="e">
        <f t="shared" si="127"/>
        <v>#DIV/0!</v>
      </c>
      <c r="AD367" s="32">
        <f t="shared" si="127"/>
        <v>470641678.55</v>
      </c>
      <c r="AE367" s="32" t="e">
        <f t="shared" si="127"/>
        <v>#DIV/0!</v>
      </c>
      <c r="AF367" s="32"/>
      <c r="AG367" s="32">
        <f t="shared" si="127"/>
        <v>5471842340</v>
      </c>
      <c r="AH367" s="87">
        <f t="shared" si="127"/>
        <v>700458481.3</v>
      </c>
      <c r="AI367" s="34">
        <f>+AH367/AG367*100</f>
        <v>12.801145167863151</v>
      </c>
      <c r="AJ367" s="87">
        <f>SUM(AJ368:AJ376)</f>
        <v>1041568684.4300001</v>
      </c>
      <c r="AK367" s="34">
        <f t="shared" si="111"/>
        <v>19.035063872655368</v>
      </c>
    </row>
    <row r="368" spans="1:37" ht="12.75" hidden="1">
      <c r="A368" s="28">
        <v>4300</v>
      </c>
      <c r="C368" t="s">
        <v>506</v>
      </c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6"/>
      <c r="P368" s="25"/>
      <c r="Q368" s="26"/>
      <c r="R368" s="26"/>
      <c r="S368" s="26"/>
      <c r="T368" s="25"/>
      <c r="U368" s="25"/>
      <c r="V368" s="25">
        <f aca="true" t="shared" si="128" ref="V368:V375">U368-P368</f>
        <v>0</v>
      </c>
      <c r="W368" s="25"/>
      <c r="X368" s="25"/>
      <c r="Y368" s="25">
        <v>0</v>
      </c>
      <c r="Z368" s="94"/>
      <c r="AA368" s="89"/>
      <c r="AB368" s="25">
        <v>0</v>
      </c>
      <c r="AC368" s="94" t="e">
        <f t="shared" si="113"/>
        <v>#DIV/0!</v>
      </c>
      <c r="AD368" s="25">
        <v>0</v>
      </c>
      <c r="AE368" s="94" t="e">
        <f t="shared" si="114"/>
        <v>#DIV/0!</v>
      </c>
      <c r="AF368" s="94"/>
      <c r="AH368" s="89"/>
      <c r="AI368" s="26" t="e">
        <f>+AH368/AG368*100</f>
        <v>#DIV/0!</v>
      </c>
      <c r="AJ368" s="89"/>
      <c r="AK368" s="26" t="e">
        <f t="shared" si="111"/>
        <v>#DIV/0!</v>
      </c>
    </row>
    <row r="369" spans="1:37" s="36" customFormat="1" ht="11.25">
      <c r="A369" s="8">
        <v>4301</v>
      </c>
      <c r="C369" s="36" t="s">
        <v>507</v>
      </c>
      <c r="D369" s="37"/>
      <c r="E369" s="37"/>
      <c r="F369" s="37"/>
      <c r="G369" s="37"/>
      <c r="H369" s="37"/>
      <c r="I369" s="37"/>
      <c r="J369" s="37"/>
      <c r="K369" s="37"/>
      <c r="L369" s="37">
        <f>670900000+32900000</f>
        <v>703800000</v>
      </c>
      <c r="M369" s="37"/>
      <c r="N369" s="37">
        <v>348245992.36</v>
      </c>
      <c r="O369" s="39">
        <f>N369/L369*100</f>
        <v>49.48081732878659</v>
      </c>
      <c r="P369" s="37">
        <f>'[1]odhodki-post-konti'!BA1410</f>
        <v>591700000</v>
      </c>
      <c r="Q369" s="39"/>
      <c r="R369" s="39">
        <f>P369/L369*100</f>
        <v>84.07217959647627</v>
      </c>
      <c r="S369" s="39">
        <f>P369/N369*100</f>
        <v>169.9086315366205</v>
      </c>
      <c r="T369" s="37">
        <f>'[1]odhodki-post-konti'!BA1410</f>
        <v>591700000</v>
      </c>
      <c r="U369" s="37">
        <f>'[1]odhodki-post-konti'!BA1410</f>
        <v>591700000</v>
      </c>
      <c r="V369" s="37">
        <f t="shared" si="128"/>
        <v>0</v>
      </c>
      <c r="W369" s="37"/>
      <c r="X369" s="37"/>
      <c r="Y369" s="37">
        <v>3721337.29</v>
      </c>
      <c r="Z369" s="88">
        <f>+Y369/P369*100</f>
        <v>0.6289229829305392</v>
      </c>
      <c r="AA369" s="88"/>
      <c r="AB369" s="37">
        <v>5405065.29</v>
      </c>
      <c r="AC369" s="88">
        <f t="shared" si="113"/>
        <v>0.9134806979888457</v>
      </c>
      <c r="AD369" s="37">
        <v>19088560.48</v>
      </c>
      <c r="AE369" s="88">
        <f t="shared" si="114"/>
        <v>3.2260538245732633</v>
      </c>
      <c r="AF369" s="88"/>
      <c r="AG369" s="37">
        <v>591700000</v>
      </c>
      <c r="AH369" s="88">
        <v>49940415.91</v>
      </c>
      <c r="AI369" s="39">
        <f>+AH369/AG369*100</f>
        <v>8.440158173060672</v>
      </c>
      <c r="AJ369" s="88">
        <v>121991775.6</v>
      </c>
      <c r="AK369" s="39">
        <f t="shared" si="111"/>
        <v>20.617166739901975</v>
      </c>
    </row>
    <row r="370" spans="1:37" s="36" customFormat="1" ht="11.25">
      <c r="A370" s="8">
        <v>4302</v>
      </c>
      <c r="C370" s="36" t="s">
        <v>508</v>
      </c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9"/>
      <c r="P370" s="37"/>
      <c r="Q370" s="39"/>
      <c r="R370" s="39"/>
      <c r="S370" s="39"/>
      <c r="T370" s="37"/>
      <c r="U370" s="37"/>
      <c r="V370" s="37">
        <f t="shared" si="128"/>
        <v>0</v>
      </c>
      <c r="W370" s="37"/>
      <c r="X370" s="37"/>
      <c r="Y370" s="37">
        <v>0</v>
      </c>
      <c r="Z370" s="88"/>
      <c r="AA370" s="88"/>
      <c r="AB370" s="37">
        <v>0</v>
      </c>
      <c r="AC370" s="88" t="e">
        <f t="shared" si="113"/>
        <v>#DIV/0!</v>
      </c>
      <c r="AD370" s="37">
        <v>0</v>
      </c>
      <c r="AE370" s="88" t="e">
        <f t="shared" si="114"/>
        <v>#DIV/0!</v>
      </c>
      <c r="AF370" s="88"/>
      <c r="AG370" s="37">
        <v>6000000</v>
      </c>
      <c r="AH370" s="88">
        <v>0</v>
      </c>
      <c r="AI370" s="39">
        <f>+AH370/AG370*100</f>
        <v>0</v>
      </c>
      <c r="AJ370" s="88">
        <v>0</v>
      </c>
      <c r="AK370" s="39">
        <f t="shared" si="111"/>
        <v>0</v>
      </c>
    </row>
    <row r="371" spans="1:37" s="36" customFormat="1" ht="11.25">
      <c r="A371" s="8">
        <v>4303</v>
      </c>
      <c r="C371" s="36" t="s">
        <v>509</v>
      </c>
      <c r="D371" s="37"/>
      <c r="E371" s="37"/>
      <c r="F371" s="37"/>
      <c r="G371" s="37"/>
      <c r="H371" s="37"/>
      <c r="I371" s="37"/>
      <c r="J371" s="37"/>
      <c r="K371" s="37"/>
      <c r="L371" s="37">
        <f>'[1]odhodki-post-konti (2)'!BC1397</f>
        <v>1885305900</v>
      </c>
      <c r="M371" s="37"/>
      <c r="N371" s="37">
        <v>342426348.28</v>
      </c>
      <c r="O371" s="39">
        <f>N371/L371*100</f>
        <v>18.162906522490594</v>
      </c>
      <c r="P371" s="37">
        <f>'[1]odhodki-post-konti'!BC1410</f>
        <v>1295768900</v>
      </c>
      <c r="Q371" s="39"/>
      <c r="R371" s="39">
        <f>P371/L371*100</f>
        <v>68.72990213418416</v>
      </c>
      <c r="S371" s="39">
        <f>P371/N371*100</f>
        <v>378.4080595750352</v>
      </c>
      <c r="T371" s="37">
        <f>'[1]odhodki-post-konti'!BC1410</f>
        <v>1295768900</v>
      </c>
      <c r="U371" s="37">
        <f>'[1]odhodki-post-konti'!BC1410</f>
        <v>1295768900</v>
      </c>
      <c r="V371" s="37">
        <f t="shared" si="128"/>
        <v>0</v>
      </c>
      <c r="W371" s="37"/>
      <c r="X371" s="37"/>
      <c r="Y371" s="37">
        <v>175680317.76</v>
      </c>
      <c r="Z371" s="88">
        <f>+Y371/P371*100</f>
        <v>13.557997707770268</v>
      </c>
      <c r="AA371" s="88"/>
      <c r="AB371" s="37">
        <v>202688593.88</v>
      </c>
      <c r="AC371" s="88">
        <f t="shared" si="113"/>
        <v>15.64234130638573</v>
      </c>
      <c r="AD371" s="37">
        <v>421227491.75</v>
      </c>
      <c r="AE371" s="88">
        <f t="shared" si="114"/>
        <v>32.507918020721135</v>
      </c>
      <c r="AF371" s="88"/>
      <c r="AG371" s="37">
        <v>1415277500</v>
      </c>
      <c r="AH371" s="88">
        <v>574783521.83</v>
      </c>
      <c r="AI371" s="39">
        <f>+AH371/AG371*100</f>
        <v>40.612778895304984</v>
      </c>
      <c r="AJ371" s="88">
        <v>807081975.34</v>
      </c>
      <c r="AK371" s="39">
        <f t="shared" si="111"/>
        <v>57.02641180545866</v>
      </c>
    </row>
    <row r="372" spans="1:37" s="36" customFormat="1" ht="11.25" hidden="1">
      <c r="A372" s="8">
        <v>4304</v>
      </c>
      <c r="C372" s="36" t="s">
        <v>510</v>
      </c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9"/>
      <c r="P372" s="37"/>
      <c r="Q372" s="39"/>
      <c r="R372" s="39"/>
      <c r="S372" s="39"/>
      <c r="T372" s="37"/>
      <c r="U372" s="37"/>
      <c r="V372" s="37">
        <f t="shared" si="128"/>
        <v>0</v>
      </c>
      <c r="W372" s="37"/>
      <c r="X372" s="37"/>
      <c r="Y372" s="37">
        <v>0</v>
      </c>
      <c r="Z372" s="88"/>
      <c r="AA372" s="88"/>
      <c r="AB372" s="37">
        <v>0</v>
      </c>
      <c r="AC372" s="88" t="e">
        <f t="shared" si="113"/>
        <v>#DIV/0!</v>
      </c>
      <c r="AD372" s="37">
        <v>0</v>
      </c>
      <c r="AE372" s="88" t="e">
        <f t="shared" si="114"/>
        <v>#DIV/0!</v>
      </c>
      <c r="AF372" s="88"/>
      <c r="AG372" s="37"/>
      <c r="AH372" s="88"/>
      <c r="AI372" s="39"/>
      <c r="AJ372" s="88"/>
      <c r="AK372" s="39" t="e">
        <f t="shared" si="111"/>
        <v>#DIV/0!</v>
      </c>
    </row>
    <row r="373" spans="1:37" s="36" customFormat="1" ht="11.25">
      <c r="A373" s="8">
        <v>4305</v>
      </c>
      <c r="C373" s="36" t="s">
        <v>511</v>
      </c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>
        <v>36630075.17</v>
      </c>
      <c r="O373" s="39"/>
      <c r="P373" s="37"/>
      <c r="Q373" s="39"/>
      <c r="R373" s="39"/>
      <c r="S373" s="39"/>
      <c r="T373" s="37"/>
      <c r="U373" s="37"/>
      <c r="V373" s="37">
        <f t="shared" si="128"/>
        <v>0</v>
      </c>
      <c r="W373" s="37"/>
      <c r="X373" s="37"/>
      <c r="Y373" s="37">
        <v>2335750.04</v>
      </c>
      <c r="Z373" s="88"/>
      <c r="AA373" s="88"/>
      <c r="AB373" s="37">
        <v>3412156.21</v>
      </c>
      <c r="AC373" s="88"/>
      <c r="AD373" s="37">
        <v>4773873.21</v>
      </c>
      <c r="AE373" s="88"/>
      <c r="AF373" s="88"/>
      <c r="AG373" s="37"/>
      <c r="AH373" s="88">
        <v>49255161.77</v>
      </c>
      <c r="AI373" s="39"/>
      <c r="AJ373" s="88">
        <v>71724769.5</v>
      </c>
      <c r="AK373" s="39"/>
    </row>
    <row r="374" spans="1:37" s="36" customFormat="1" ht="11.25" hidden="1">
      <c r="A374" s="8">
        <v>4306</v>
      </c>
      <c r="C374" s="36" t="s">
        <v>512</v>
      </c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9"/>
      <c r="P374" s="37"/>
      <c r="Q374" s="39"/>
      <c r="R374" s="39"/>
      <c r="S374" s="39"/>
      <c r="T374" s="37"/>
      <c r="U374" s="37"/>
      <c r="V374" s="37">
        <f t="shared" si="128"/>
        <v>0</v>
      </c>
      <c r="W374" s="37"/>
      <c r="X374" s="37"/>
      <c r="Y374" s="37">
        <v>0</v>
      </c>
      <c r="Z374" s="88"/>
      <c r="AA374" s="88"/>
      <c r="AB374" s="37">
        <v>0</v>
      </c>
      <c r="AC374" s="88" t="e">
        <f t="shared" si="113"/>
        <v>#DIV/0!</v>
      </c>
      <c r="AD374" s="37">
        <v>0</v>
      </c>
      <c r="AE374" s="88" t="e">
        <f t="shared" si="114"/>
        <v>#DIV/0!</v>
      </c>
      <c r="AF374" s="88"/>
      <c r="AG374" s="37"/>
      <c r="AH374" s="88"/>
      <c r="AI374" s="39"/>
      <c r="AJ374" s="88"/>
      <c r="AK374" s="39" t="e">
        <f t="shared" si="111"/>
        <v>#DIV/0!</v>
      </c>
    </row>
    <row r="375" spans="1:37" s="36" customFormat="1" ht="11.25">
      <c r="A375" s="8">
        <v>4307</v>
      </c>
      <c r="C375" s="36" t="s">
        <v>513</v>
      </c>
      <c r="D375" s="37"/>
      <c r="E375" s="37"/>
      <c r="F375" s="37"/>
      <c r="G375" s="37"/>
      <c r="H375" s="37"/>
      <c r="I375" s="37"/>
      <c r="J375" s="37"/>
      <c r="K375" s="37"/>
      <c r="L375" s="37">
        <f>'[1]odhodki-post-konti (2)'!BG1397</f>
        <v>2570857241</v>
      </c>
      <c r="M375" s="37"/>
      <c r="N375" s="37">
        <v>443658323.96</v>
      </c>
      <c r="O375" s="39">
        <f>N375/L375*100</f>
        <v>17.25721354280364</v>
      </c>
      <c r="P375" s="37">
        <f>'[1]odhodki-post-konti'!BG1410</f>
        <v>2966241300</v>
      </c>
      <c r="Q375" s="39"/>
      <c r="R375" s="39">
        <f>P375/L375*100</f>
        <v>115.3794638105306</v>
      </c>
      <c r="S375" s="39">
        <f>P375/N375*100</f>
        <v>668.5868696261483</v>
      </c>
      <c r="T375" s="37">
        <f>'[1]odhodki-post-konti'!BG1410</f>
        <v>2966241300</v>
      </c>
      <c r="U375" s="37">
        <f>'[1]odhodki-post-konti'!BG1410</f>
        <v>2966241300</v>
      </c>
      <c r="V375" s="37">
        <f t="shared" si="128"/>
        <v>0</v>
      </c>
      <c r="W375" s="37"/>
      <c r="X375" s="37"/>
      <c r="Y375" s="37">
        <v>2298500.49</v>
      </c>
      <c r="Z375" s="88">
        <f>+Y375/P375*100</f>
        <v>0.07748865508682656</v>
      </c>
      <c r="AA375" s="88"/>
      <c r="AB375" s="37">
        <v>18609387.51</v>
      </c>
      <c r="AC375" s="88">
        <f t="shared" si="113"/>
        <v>0.6273726790197413</v>
      </c>
      <c r="AD375" s="37">
        <v>25551753.11</v>
      </c>
      <c r="AE375" s="88">
        <f t="shared" si="114"/>
        <v>0.8614185605870971</v>
      </c>
      <c r="AF375" s="88"/>
      <c r="AG375" s="37">
        <f>3442864840+16000000</f>
        <v>3458864840</v>
      </c>
      <c r="AH375" s="88">
        <v>26479381.79</v>
      </c>
      <c r="AI375" s="39">
        <f>+AH375/AG375*100</f>
        <v>0.7655512144845764</v>
      </c>
      <c r="AJ375" s="88">
        <v>40770163.99</v>
      </c>
      <c r="AK375" s="39">
        <f t="shared" si="111"/>
        <v>1.1787151529748703</v>
      </c>
    </row>
    <row r="376" spans="1:37" ht="12.75" hidden="1">
      <c r="A376" s="28">
        <v>4308</v>
      </c>
      <c r="C376" t="s">
        <v>514</v>
      </c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6"/>
      <c r="P376" s="25"/>
      <c r="Q376" s="25"/>
      <c r="R376" s="25"/>
      <c r="S376" s="25"/>
      <c r="T376" s="25"/>
      <c r="U376" s="25"/>
      <c r="V376" s="25"/>
      <c r="W376" s="25"/>
      <c r="X376" s="25"/>
      <c r="Y376" s="25">
        <v>0</v>
      </c>
      <c r="Z376" s="94"/>
      <c r="AA376" s="89"/>
      <c r="AB376" s="25">
        <v>0</v>
      </c>
      <c r="AC376" s="94" t="e">
        <f t="shared" si="113"/>
        <v>#DIV/0!</v>
      </c>
      <c r="AD376" s="25">
        <v>0</v>
      </c>
      <c r="AE376" s="94" t="e">
        <f t="shared" si="114"/>
        <v>#DIV/0!</v>
      </c>
      <c r="AF376" s="94"/>
      <c r="AH376" s="89"/>
      <c r="AI376" s="26" t="e">
        <f>+AH376/AG376*100</f>
        <v>#DIV/0!</v>
      </c>
      <c r="AJ376" s="89"/>
      <c r="AK376" s="26" t="e">
        <f t="shared" si="111"/>
        <v>#DIV/0!</v>
      </c>
    </row>
    <row r="377" spans="1:37" ht="15.75">
      <c r="A377" s="28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6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93"/>
      <c r="AA377" s="89"/>
      <c r="AB377" s="25"/>
      <c r="AC377" s="93"/>
      <c r="AD377" s="25"/>
      <c r="AE377" s="93"/>
      <c r="AF377" s="93"/>
      <c r="AH377" s="89"/>
      <c r="AI377" s="26"/>
      <c r="AJ377" s="89"/>
      <c r="AK377" s="26"/>
    </row>
    <row r="378" spans="1:37" ht="15.75">
      <c r="A378" s="46"/>
      <c r="B378" s="57" t="s">
        <v>515</v>
      </c>
      <c r="C378" s="65" t="s">
        <v>516</v>
      </c>
      <c r="D378" s="15">
        <f>D7-D279</f>
        <v>-2281598000</v>
      </c>
      <c r="E378" s="15">
        <f>E7-E279</f>
        <v>-821962769</v>
      </c>
      <c r="F378" s="16">
        <f>E378/D378*100</f>
        <v>36.025749014506495</v>
      </c>
      <c r="G378" s="15">
        <f>G7-G279</f>
        <v>-2342314000</v>
      </c>
      <c r="H378" s="15">
        <f>H7-H279</f>
        <v>1637842402.6099987</v>
      </c>
      <c r="I378" s="16">
        <f>H378/G378*100</f>
        <v>-69.92411788556097</v>
      </c>
      <c r="J378" s="15" t="e">
        <f>J7-J279</f>
        <v>#REF!</v>
      </c>
      <c r="K378" s="15">
        <f>K7-K279</f>
        <v>-2626876066</v>
      </c>
      <c r="L378" s="15">
        <f>L7-L279</f>
        <v>-2536712066</v>
      </c>
      <c r="M378" s="15">
        <f>K378-L378</f>
        <v>-90164000</v>
      </c>
      <c r="N378" s="15">
        <f>N7-N279</f>
        <v>257478381.8199997</v>
      </c>
      <c r="O378" s="16">
        <f>N378/L378*100</f>
        <v>-10.150083065044234</v>
      </c>
      <c r="P378" s="15">
        <f>P7-P279</f>
        <v>-2385030000</v>
      </c>
      <c r="Q378" s="15">
        <f aca="true" t="shared" si="129" ref="Q378:AH378">Q7-Q279</f>
        <v>99.89158586529999</v>
      </c>
      <c r="R378" s="15" t="e">
        <f t="shared" si="129"/>
        <v>#DIV/0!</v>
      </c>
      <c r="S378" s="15">
        <f t="shared" si="129"/>
        <v>-7259.749166877762</v>
      </c>
      <c r="T378" s="15">
        <f t="shared" si="129"/>
        <v>-2385030000</v>
      </c>
      <c r="U378" s="15">
        <f t="shared" si="129"/>
        <v>-1842007300</v>
      </c>
      <c r="V378" s="15">
        <f t="shared" si="129"/>
        <v>543022700</v>
      </c>
      <c r="W378" s="15">
        <f t="shared" si="129"/>
        <v>662030200</v>
      </c>
      <c r="X378" s="15">
        <f t="shared" si="129"/>
        <v>-119007500</v>
      </c>
      <c r="Y378" s="15">
        <f t="shared" si="129"/>
        <v>-32955288.4799999</v>
      </c>
      <c r="Z378" s="15">
        <f t="shared" si="129"/>
        <v>-243.30744771925114</v>
      </c>
      <c r="AA378" s="15">
        <f t="shared" si="129"/>
        <v>600000</v>
      </c>
      <c r="AB378" s="15">
        <f t="shared" si="129"/>
        <v>-91553542.07000017</v>
      </c>
      <c r="AC378" s="15" t="e">
        <f t="shared" si="129"/>
        <v>#DIV/0!</v>
      </c>
      <c r="AD378" s="15">
        <f t="shared" si="129"/>
        <v>122601494.24999905</v>
      </c>
      <c r="AE378" s="15" t="e">
        <f t="shared" si="129"/>
        <v>#DIV/0!</v>
      </c>
      <c r="AF378" s="91">
        <f>AF7-AF279</f>
        <v>2696613929.002859</v>
      </c>
      <c r="AG378" s="15">
        <f t="shared" si="129"/>
        <v>-2778428125</v>
      </c>
      <c r="AH378" s="91">
        <f t="shared" si="129"/>
        <v>-22193554.57999897</v>
      </c>
      <c r="AI378" s="16">
        <f>+AH378/AG378*100</f>
        <v>0.7987809502899762</v>
      </c>
      <c r="AJ378" s="91">
        <f>AJ7-AJ279</f>
        <v>-44145873.24999905</v>
      </c>
      <c r="AK378" s="16">
        <f t="shared" si="111"/>
        <v>1.5888794406009348</v>
      </c>
    </row>
    <row r="379" spans="1:37" ht="15.75">
      <c r="A379" s="66"/>
      <c r="B379" s="12"/>
      <c r="C379" s="67" t="s">
        <v>517</v>
      </c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9"/>
      <c r="P379" s="18"/>
      <c r="Q379" s="18"/>
      <c r="R379" s="18"/>
      <c r="S379" s="18"/>
      <c r="T379" s="18"/>
      <c r="U379" s="18"/>
      <c r="V379" s="18"/>
      <c r="W379" s="18"/>
      <c r="X379" s="18"/>
      <c r="Y379" s="25"/>
      <c r="Z379" s="87"/>
      <c r="AA379" s="89"/>
      <c r="AB379" s="25"/>
      <c r="AC379" s="87"/>
      <c r="AD379" s="25"/>
      <c r="AE379" s="87"/>
      <c r="AF379" s="87"/>
      <c r="AH379" s="89"/>
      <c r="AI379" s="26"/>
      <c r="AJ379" s="89"/>
      <c r="AK379" s="26"/>
    </row>
    <row r="380" spans="1:37" ht="19.5" customHeight="1">
      <c r="A380" s="28"/>
      <c r="C380" s="68" t="s">
        <v>518</v>
      </c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6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87"/>
      <c r="AA380" s="89"/>
      <c r="AB380" s="25"/>
      <c r="AC380" s="87"/>
      <c r="AD380" s="25"/>
      <c r="AE380" s="87"/>
      <c r="AF380" s="87"/>
      <c r="AH380" s="89"/>
      <c r="AI380" s="26"/>
      <c r="AJ380" s="89"/>
      <c r="AK380" s="26"/>
    </row>
    <row r="381" spans="1:37" ht="6.75" customHeight="1" hidden="1">
      <c r="A381" s="28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6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87"/>
      <c r="AA381" s="89"/>
      <c r="AB381" s="25"/>
      <c r="AC381" s="87"/>
      <c r="AD381" s="25"/>
      <c r="AE381" s="87"/>
      <c r="AF381" s="87"/>
      <c r="AH381" s="89"/>
      <c r="AI381" s="26"/>
      <c r="AJ381" s="89"/>
      <c r="AK381" s="26"/>
    </row>
    <row r="382" spans="1:37" ht="18">
      <c r="A382" s="69" t="s">
        <v>519</v>
      </c>
      <c r="B382" s="2" t="s">
        <v>520</v>
      </c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6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87"/>
      <c r="AA382" s="89"/>
      <c r="AB382" s="25"/>
      <c r="AC382" s="87"/>
      <c r="AD382" s="25"/>
      <c r="AE382" s="87"/>
      <c r="AF382" s="87"/>
      <c r="AH382" s="89"/>
      <c r="AI382" s="26"/>
      <c r="AJ382" s="89"/>
      <c r="AK382" s="26"/>
    </row>
    <row r="383" spans="1:37" ht="12.75">
      <c r="A383" s="70"/>
      <c r="B383" s="6"/>
      <c r="C383" s="6"/>
      <c r="D383" s="71"/>
      <c r="E383" s="71"/>
      <c r="F383" s="71"/>
      <c r="G383" s="71"/>
      <c r="H383" s="71"/>
      <c r="I383" s="71"/>
      <c r="J383" s="71"/>
      <c r="K383" s="71"/>
      <c r="L383" s="71"/>
      <c r="M383" s="7"/>
      <c r="N383" s="71"/>
      <c r="O383" s="72"/>
      <c r="P383" s="71"/>
      <c r="Q383" s="7"/>
      <c r="R383" s="7"/>
      <c r="S383" s="7"/>
      <c r="T383" s="71"/>
      <c r="U383" s="71"/>
      <c r="V383" s="71"/>
      <c r="W383" s="71"/>
      <c r="X383" s="71"/>
      <c r="Y383" s="25"/>
      <c r="Z383" s="87"/>
      <c r="AA383" s="89"/>
      <c r="AB383" s="25"/>
      <c r="AC383" s="87"/>
      <c r="AD383" s="25"/>
      <c r="AE383" s="87"/>
      <c r="AF383" s="87"/>
      <c r="AH383" s="89"/>
      <c r="AI383" s="26"/>
      <c r="AJ383" s="89"/>
      <c r="AK383" s="26"/>
    </row>
    <row r="384" spans="1:37" ht="12.75" hidden="1">
      <c r="A384" s="8" t="s">
        <v>7</v>
      </c>
      <c r="B384" s="9"/>
      <c r="C384" s="9" t="s">
        <v>8</v>
      </c>
      <c r="D384" s="9" t="s">
        <v>9</v>
      </c>
      <c r="E384" s="9" t="s">
        <v>10</v>
      </c>
      <c r="F384" s="9" t="s">
        <v>11</v>
      </c>
      <c r="G384" s="9" t="s">
        <v>9</v>
      </c>
      <c r="H384" s="9" t="s">
        <v>10</v>
      </c>
      <c r="I384" s="9" t="s">
        <v>11</v>
      </c>
      <c r="J384" s="9" t="s">
        <v>13</v>
      </c>
      <c r="K384" s="9" t="s">
        <v>14</v>
      </c>
      <c r="L384" s="9" t="s">
        <v>15</v>
      </c>
      <c r="M384" s="9" t="s">
        <v>16</v>
      </c>
      <c r="N384" s="9" t="s">
        <v>10</v>
      </c>
      <c r="O384" s="9" t="s">
        <v>17</v>
      </c>
      <c r="P384" s="9" t="s">
        <v>18</v>
      </c>
      <c r="Q384" s="9" t="s">
        <v>17</v>
      </c>
      <c r="R384" s="9" t="s">
        <v>17</v>
      </c>
      <c r="S384" s="9" t="s">
        <v>17</v>
      </c>
      <c r="T384" s="9" t="s">
        <v>19</v>
      </c>
      <c r="U384" s="9" t="s">
        <v>9</v>
      </c>
      <c r="V384" s="9" t="s">
        <v>16</v>
      </c>
      <c r="W384" s="9" t="s">
        <v>20</v>
      </c>
      <c r="X384" s="9" t="s">
        <v>21</v>
      </c>
      <c r="Y384" s="25"/>
      <c r="Z384" s="87"/>
      <c r="AA384" s="89"/>
      <c r="AB384" s="25"/>
      <c r="AC384" s="87"/>
      <c r="AD384" s="25"/>
      <c r="AE384" s="87"/>
      <c r="AF384" s="87"/>
      <c r="AH384" s="89"/>
      <c r="AI384" s="26"/>
      <c r="AJ384" s="89"/>
      <c r="AK384" s="26"/>
    </row>
    <row r="385" spans="1:37" ht="12.75" hidden="1">
      <c r="A385" s="8" t="s">
        <v>22</v>
      </c>
      <c r="B385" s="9"/>
      <c r="C385" s="9"/>
      <c r="D385" s="9">
        <v>1997</v>
      </c>
      <c r="E385" s="9">
        <v>1997</v>
      </c>
      <c r="F385" s="9" t="s">
        <v>23</v>
      </c>
      <c r="G385" s="9">
        <v>1998</v>
      </c>
      <c r="H385" s="9">
        <v>1998</v>
      </c>
      <c r="I385" s="9" t="s">
        <v>24</v>
      </c>
      <c r="J385" s="9" t="s">
        <v>25</v>
      </c>
      <c r="K385" s="9">
        <v>1999</v>
      </c>
      <c r="L385" s="9">
        <v>1999</v>
      </c>
      <c r="M385" s="9" t="s">
        <v>26</v>
      </c>
      <c r="N385" s="9">
        <v>1999</v>
      </c>
      <c r="O385" s="9" t="s">
        <v>23</v>
      </c>
      <c r="P385" s="9">
        <v>2000</v>
      </c>
      <c r="Q385" s="9" t="s">
        <v>27</v>
      </c>
      <c r="R385" s="9" t="s">
        <v>23</v>
      </c>
      <c r="S385" s="9" t="s">
        <v>23</v>
      </c>
      <c r="T385" s="9" t="s">
        <v>28</v>
      </c>
      <c r="U385" s="9">
        <v>2000</v>
      </c>
      <c r="V385" s="10" t="s">
        <v>29</v>
      </c>
      <c r="W385" s="10" t="s">
        <v>29</v>
      </c>
      <c r="X385" s="10" t="s">
        <v>29</v>
      </c>
      <c r="Y385" s="25"/>
      <c r="Z385" s="87"/>
      <c r="AA385" s="89"/>
      <c r="AB385" s="25"/>
      <c r="AC385" s="87"/>
      <c r="AD385" s="25"/>
      <c r="AE385" s="87"/>
      <c r="AF385" s="87"/>
      <c r="AH385" s="89"/>
      <c r="AI385" s="26"/>
      <c r="AJ385" s="89"/>
      <c r="AK385" s="26"/>
    </row>
    <row r="386" spans="1:37" ht="13.5" hidden="1" thickBot="1">
      <c r="A386" s="11">
        <v>1</v>
      </c>
      <c r="B386" s="11"/>
      <c r="C386" s="11">
        <v>2</v>
      </c>
      <c r="D386" s="11">
        <v>3</v>
      </c>
      <c r="E386" s="11">
        <v>3</v>
      </c>
      <c r="F386" s="11">
        <v>5</v>
      </c>
      <c r="G386" s="11">
        <v>4</v>
      </c>
      <c r="H386" s="11">
        <v>5</v>
      </c>
      <c r="I386" s="11">
        <v>6</v>
      </c>
      <c r="J386" s="11" t="s">
        <v>30</v>
      </c>
      <c r="K386" s="11">
        <v>3</v>
      </c>
      <c r="L386" s="11">
        <v>3</v>
      </c>
      <c r="M386" s="11">
        <v>5</v>
      </c>
      <c r="N386" s="11">
        <v>3</v>
      </c>
      <c r="O386" s="11">
        <v>5</v>
      </c>
      <c r="P386" s="11">
        <v>4</v>
      </c>
      <c r="Q386" s="11">
        <v>5</v>
      </c>
      <c r="R386" s="11">
        <v>6</v>
      </c>
      <c r="S386" s="11">
        <v>5</v>
      </c>
      <c r="T386" s="11">
        <v>5</v>
      </c>
      <c r="U386" s="11">
        <v>5</v>
      </c>
      <c r="V386" s="11">
        <v>6</v>
      </c>
      <c r="W386" s="11">
        <v>6</v>
      </c>
      <c r="X386" s="11">
        <v>7</v>
      </c>
      <c r="Y386" s="25"/>
      <c r="Z386" s="87"/>
      <c r="AA386" s="89"/>
      <c r="AB386" s="25"/>
      <c r="AC386" s="87"/>
      <c r="AD386" s="25"/>
      <c r="AE386" s="87"/>
      <c r="AF386" s="87"/>
      <c r="AH386" s="89"/>
      <c r="AI386" s="26"/>
      <c r="AJ386" s="89"/>
      <c r="AK386" s="26"/>
    </row>
    <row r="387" spans="1:37" ht="12.75" hidden="1">
      <c r="A387" s="28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6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87"/>
      <c r="AA387" s="89"/>
      <c r="AB387" s="25"/>
      <c r="AC387" s="87"/>
      <c r="AD387" s="25"/>
      <c r="AE387" s="87"/>
      <c r="AF387" s="87"/>
      <c r="AH387" s="89"/>
      <c r="AI387" s="26"/>
      <c r="AJ387" s="89"/>
      <c r="AK387" s="26"/>
    </row>
    <row r="388" spans="1:37" ht="15.75">
      <c r="A388" s="46">
        <v>75</v>
      </c>
      <c r="B388" s="57" t="s">
        <v>521</v>
      </c>
      <c r="C388" s="65" t="s">
        <v>522</v>
      </c>
      <c r="D388" s="15">
        <f>D392+D396</f>
        <v>13000000</v>
      </c>
      <c r="E388" s="15">
        <f>E392+E396</f>
        <v>0</v>
      </c>
      <c r="F388" s="16"/>
      <c r="G388" s="15">
        <f>G392+G396</f>
        <v>14000000</v>
      </c>
      <c r="H388" s="15">
        <f>H392+H396</f>
        <v>16000000</v>
      </c>
      <c r="I388" s="16">
        <f>H388/G388*100</f>
        <v>114.28571428571428</v>
      </c>
      <c r="J388" s="15">
        <f>J392+J396</f>
        <v>0</v>
      </c>
      <c r="K388" s="15">
        <f>K392+K396</f>
        <v>6000000</v>
      </c>
      <c r="L388" s="15">
        <f>L392+L396</f>
        <v>23636000</v>
      </c>
      <c r="M388" s="15">
        <f>L388-K388</f>
        <v>17636000</v>
      </c>
      <c r="N388" s="15">
        <f>N392+N396</f>
        <v>32163959.49</v>
      </c>
      <c r="O388" s="16">
        <f>N388/L388*100</f>
        <v>136.0803836943645</v>
      </c>
      <c r="P388" s="15">
        <f>P392+P396</f>
        <v>0</v>
      </c>
      <c r="Q388" s="15">
        <f aca="true" t="shared" si="130" ref="Q388:AG388">Q392+Q396</f>
        <v>0</v>
      </c>
      <c r="R388" s="15">
        <f t="shared" si="130"/>
        <v>0</v>
      </c>
      <c r="S388" s="15">
        <f t="shared" si="130"/>
        <v>0</v>
      </c>
      <c r="T388" s="15">
        <f t="shared" si="130"/>
        <v>0</v>
      </c>
      <c r="U388" s="15">
        <f t="shared" si="130"/>
        <v>0</v>
      </c>
      <c r="V388" s="15">
        <f t="shared" si="130"/>
        <v>0</v>
      </c>
      <c r="W388" s="15">
        <f t="shared" si="130"/>
        <v>0</v>
      </c>
      <c r="X388" s="15">
        <f t="shared" si="130"/>
        <v>0</v>
      </c>
      <c r="Y388" s="15">
        <f t="shared" si="130"/>
        <v>0</v>
      </c>
      <c r="Z388" s="15">
        <f t="shared" si="130"/>
        <v>0</v>
      </c>
      <c r="AA388" s="15">
        <f t="shared" si="130"/>
        <v>0</v>
      </c>
      <c r="AB388" s="15">
        <f t="shared" si="130"/>
        <v>0</v>
      </c>
      <c r="AC388" s="15">
        <f t="shared" si="130"/>
        <v>0</v>
      </c>
      <c r="AD388" s="15">
        <f t="shared" si="130"/>
        <v>0</v>
      </c>
      <c r="AE388" s="15">
        <f t="shared" si="130"/>
        <v>0</v>
      </c>
      <c r="AF388" s="91">
        <f>AF392+AF396</f>
        <v>6500000</v>
      </c>
      <c r="AG388" s="15">
        <f t="shared" si="130"/>
        <v>0</v>
      </c>
      <c r="AH388" s="91">
        <f>AH392+AH396</f>
        <v>0</v>
      </c>
      <c r="AI388" s="16"/>
      <c r="AJ388" s="91">
        <f>AJ392+AJ396</f>
        <v>0</v>
      </c>
      <c r="AK388" s="16"/>
    </row>
    <row r="389" spans="1:37" ht="15.75">
      <c r="A389" s="46"/>
      <c r="B389" s="47"/>
      <c r="C389" s="73" t="s">
        <v>523</v>
      </c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6"/>
      <c r="P389" s="15"/>
      <c r="Q389" s="15"/>
      <c r="R389" s="15"/>
      <c r="S389" s="15"/>
      <c r="T389" s="15"/>
      <c r="U389" s="15"/>
      <c r="V389" s="15">
        <f aca="true" t="shared" si="131" ref="V389:V394">U389-P389</f>
        <v>0</v>
      </c>
      <c r="W389" s="15"/>
      <c r="X389" s="15"/>
      <c r="Y389" s="25"/>
      <c r="Z389" s="87"/>
      <c r="AA389" s="89"/>
      <c r="AB389" s="25"/>
      <c r="AC389" s="87"/>
      <c r="AD389" s="25"/>
      <c r="AE389" s="87"/>
      <c r="AF389" s="87"/>
      <c r="AH389" s="89"/>
      <c r="AI389" s="26"/>
      <c r="AJ389" s="89"/>
      <c r="AK389" s="26"/>
    </row>
    <row r="390" spans="1:37" ht="12.75">
      <c r="A390" s="60"/>
      <c r="B390" s="20"/>
      <c r="C390" s="74" t="s">
        <v>524</v>
      </c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3"/>
      <c r="P390" s="21"/>
      <c r="Q390" s="21"/>
      <c r="R390" s="21"/>
      <c r="S390" s="21"/>
      <c r="T390" s="21"/>
      <c r="U390" s="21"/>
      <c r="V390" s="21">
        <f t="shared" si="131"/>
        <v>0</v>
      </c>
      <c r="W390" s="21"/>
      <c r="X390" s="21"/>
      <c r="Y390" s="25"/>
      <c r="Z390" s="87"/>
      <c r="AA390" s="89"/>
      <c r="AB390" s="25"/>
      <c r="AC390" s="87"/>
      <c r="AD390" s="25"/>
      <c r="AE390" s="87"/>
      <c r="AF390" s="87"/>
      <c r="AH390" s="89"/>
      <c r="AI390" s="26"/>
      <c r="AJ390" s="89"/>
      <c r="AK390" s="26"/>
    </row>
    <row r="391" spans="1:37" ht="12.75">
      <c r="A391" s="28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6"/>
      <c r="P391" s="25"/>
      <c r="Q391" s="25"/>
      <c r="R391" s="25"/>
      <c r="S391" s="25"/>
      <c r="T391" s="25"/>
      <c r="U391" s="25"/>
      <c r="V391" s="25">
        <f t="shared" si="131"/>
        <v>0</v>
      </c>
      <c r="W391" s="25"/>
      <c r="X391" s="25"/>
      <c r="Y391" s="25"/>
      <c r="Z391" s="87"/>
      <c r="AA391" s="89"/>
      <c r="AB391" s="25"/>
      <c r="AC391" s="87"/>
      <c r="AD391" s="25"/>
      <c r="AE391" s="87"/>
      <c r="AF391" s="87"/>
      <c r="AH391" s="89"/>
      <c r="AI391" s="26"/>
      <c r="AJ391" s="89"/>
      <c r="AK391" s="26"/>
    </row>
    <row r="392" spans="1:37" ht="12.75">
      <c r="A392" s="30">
        <v>750</v>
      </c>
      <c r="B392" s="31"/>
      <c r="C392" s="31" t="s">
        <v>525</v>
      </c>
      <c r="D392" s="32">
        <f>SUM(D393:D394)</f>
        <v>13000000</v>
      </c>
      <c r="E392" s="32">
        <f>SUM(E393:E394)</f>
        <v>0</v>
      </c>
      <c r="F392" s="22"/>
      <c r="G392" s="32">
        <f>SUM(G393:G394)</f>
        <v>14000000</v>
      </c>
      <c r="H392" s="32">
        <f>SUM(H393:H394)</f>
        <v>16000000</v>
      </c>
      <c r="I392" s="22">
        <f>H392/G392*100</f>
        <v>114.28571428571428</v>
      </c>
      <c r="J392" s="32">
        <f>SUM(J393:J394)</f>
        <v>0</v>
      </c>
      <c r="K392" s="32">
        <f>SUM(K393:K394)</f>
        <v>6000000</v>
      </c>
      <c r="L392" s="32">
        <f>SUM(L393:L394)</f>
        <v>23636000</v>
      </c>
      <c r="M392" s="33">
        <f>L392-K392</f>
        <v>17636000</v>
      </c>
      <c r="N392" s="32">
        <f>SUM(N393:N394)</f>
        <v>32163959.49</v>
      </c>
      <c r="O392" s="22">
        <f>N392/L392*100</f>
        <v>136.0803836943645</v>
      </c>
      <c r="P392" s="32">
        <f>SUM(P393:P394)</f>
        <v>0</v>
      </c>
      <c r="Q392" s="32">
        <f aca="true" t="shared" si="132" ref="Q392:AH392">SUM(Q393:Q394)</f>
        <v>0</v>
      </c>
      <c r="R392" s="32">
        <f t="shared" si="132"/>
        <v>0</v>
      </c>
      <c r="S392" s="32">
        <f t="shared" si="132"/>
        <v>0</v>
      </c>
      <c r="T392" s="32">
        <f t="shared" si="132"/>
        <v>0</v>
      </c>
      <c r="U392" s="32">
        <f t="shared" si="132"/>
        <v>0</v>
      </c>
      <c r="V392" s="32">
        <f t="shared" si="132"/>
        <v>0</v>
      </c>
      <c r="W392" s="32">
        <f t="shared" si="132"/>
        <v>0</v>
      </c>
      <c r="X392" s="32">
        <f t="shared" si="132"/>
        <v>0</v>
      </c>
      <c r="Y392" s="32">
        <f t="shared" si="132"/>
        <v>0</v>
      </c>
      <c r="Z392" s="32">
        <f t="shared" si="132"/>
        <v>0</v>
      </c>
      <c r="AA392" s="32">
        <f t="shared" si="132"/>
        <v>0</v>
      </c>
      <c r="AB392" s="32">
        <f t="shared" si="132"/>
        <v>0</v>
      </c>
      <c r="AC392" s="32">
        <f t="shared" si="132"/>
        <v>0</v>
      </c>
      <c r="AD392" s="32">
        <f t="shared" si="132"/>
        <v>0</v>
      </c>
      <c r="AE392" s="32">
        <f t="shared" si="132"/>
        <v>0</v>
      </c>
      <c r="AF392" s="87">
        <f>SUM(AF393:AF394)</f>
        <v>6500000</v>
      </c>
      <c r="AG392" s="32">
        <f t="shared" si="132"/>
        <v>0</v>
      </c>
      <c r="AH392" s="87">
        <f t="shared" si="132"/>
        <v>0</v>
      </c>
      <c r="AI392" s="34"/>
      <c r="AJ392" s="87">
        <f>SUM(AJ393:AJ394)</f>
        <v>0</v>
      </c>
      <c r="AK392" s="34"/>
    </row>
    <row r="393" spans="1:37" s="62" customFormat="1" ht="12.75" hidden="1">
      <c r="A393" s="61">
        <v>7500</v>
      </c>
      <c r="C393" s="62" t="s">
        <v>526</v>
      </c>
      <c r="D393" s="63">
        <v>13000000</v>
      </c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26"/>
      <c r="P393" s="63"/>
      <c r="Q393" s="63"/>
      <c r="R393" s="63"/>
      <c r="S393" s="63"/>
      <c r="T393" s="63"/>
      <c r="U393" s="63"/>
      <c r="V393" s="63">
        <f t="shared" si="131"/>
        <v>0</v>
      </c>
      <c r="W393" s="63"/>
      <c r="X393" s="63"/>
      <c r="Y393" s="63"/>
      <c r="Z393" s="87"/>
      <c r="AA393" s="95"/>
      <c r="AB393" s="63"/>
      <c r="AC393" s="87"/>
      <c r="AD393" s="63"/>
      <c r="AE393" s="87"/>
      <c r="AF393" s="87"/>
      <c r="AG393" s="25"/>
      <c r="AH393" s="89"/>
      <c r="AI393" s="26"/>
      <c r="AJ393" s="95"/>
      <c r="AK393" s="26"/>
    </row>
    <row r="394" spans="1:37" ht="12.75">
      <c r="A394" s="28">
        <v>7503</v>
      </c>
      <c r="C394" t="s">
        <v>527</v>
      </c>
      <c r="D394" s="25"/>
      <c r="E394" s="25"/>
      <c r="F394" s="64"/>
      <c r="G394" s="25">
        <v>14000000</v>
      </c>
      <c r="H394" s="25">
        <v>16000000</v>
      </c>
      <c r="I394" s="64">
        <f>H394/G394*100</f>
        <v>114.28571428571428</v>
      </c>
      <c r="J394" s="25"/>
      <c r="K394" s="25">
        <v>6000000</v>
      </c>
      <c r="L394" s="25">
        <v>23636000</v>
      </c>
      <c r="M394" s="63">
        <f>L394-K394</f>
        <v>17636000</v>
      </c>
      <c r="N394" s="25">
        <v>32163959.49</v>
      </c>
      <c r="O394" s="26">
        <f>N394/L394*100</f>
        <v>136.0803836943645</v>
      </c>
      <c r="P394" s="25"/>
      <c r="Q394" s="64"/>
      <c r="R394" s="64">
        <f>P394/L394*100</f>
        <v>0</v>
      </c>
      <c r="S394" s="64">
        <f>P394/N394*100</f>
        <v>0</v>
      </c>
      <c r="T394" s="25"/>
      <c r="U394" s="25"/>
      <c r="V394" s="25">
        <f t="shared" si="131"/>
        <v>0</v>
      </c>
      <c r="W394" s="25"/>
      <c r="X394" s="25"/>
      <c r="Y394" s="25"/>
      <c r="Z394" s="87"/>
      <c r="AA394" s="89"/>
      <c r="AB394" s="25"/>
      <c r="AC394" s="87"/>
      <c r="AD394" s="25"/>
      <c r="AE394" s="87"/>
      <c r="AF394" s="94">
        <v>6500000</v>
      </c>
      <c r="AH394" s="89"/>
      <c r="AI394" s="26"/>
      <c r="AJ394" s="89"/>
      <c r="AK394" s="26"/>
    </row>
    <row r="395" spans="1:37" ht="12.75" customHeight="1">
      <c r="A395" s="28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6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87"/>
      <c r="AA395" s="89"/>
      <c r="AB395" s="25"/>
      <c r="AC395" s="87"/>
      <c r="AD395" s="25"/>
      <c r="AE395" s="87"/>
      <c r="AF395" s="87"/>
      <c r="AH395" s="89"/>
      <c r="AI395" s="26"/>
      <c r="AJ395" s="89"/>
      <c r="AK395" s="26"/>
    </row>
    <row r="396" spans="1:37" ht="12.75">
      <c r="A396" s="30">
        <v>751</v>
      </c>
      <c r="B396" s="31"/>
      <c r="C396" s="31" t="s">
        <v>528</v>
      </c>
      <c r="D396" s="32">
        <f>SUM(D397:D399)</f>
        <v>0</v>
      </c>
      <c r="E396" s="32">
        <f>SUM(E397:E399)</f>
        <v>0</v>
      </c>
      <c r="F396" s="32"/>
      <c r="G396" s="32">
        <f>SUM(G397:G399)</f>
        <v>0</v>
      </c>
      <c r="H396" s="32">
        <f>SUM(H397:H399)</f>
        <v>0</v>
      </c>
      <c r="I396" s="32"/>
      <c r="J396" s="32">
        <f>SUM(J397:J399)</f>
        <v>0</v>
      </c>
      <c r="K396" s="32">
        <f>SUM(K397:K399)</f>
        <v>0</v>
      </c>
      <c r="L396" s="32">
        <f>SUM(L397:L399)</f>
        <v>0</v>
      </c>
      <c r="M396" s="33">
        <f>L396-K396</f>
        <v>0</v>
      </c>
      <c r="N396" s="32">
        <f>SUM(N397:N399)</f>
        <v>0</v>
      </c>
      <c r="O396" s="34"/>
      <c r="P396" s="32">
        <f>SUM(P397:P399)</f>
        <v>0</v>
      </c>
      <c r="Q396" s="32">
        <f aca="true" t="shared" si="133" ref="Q396:AH396">SUM(Q397:Q399)</f>
        <v>0</v>
      </c>
      <c r="R396" s="32">
        <f t="shared" si="133"/>
        <v>0</v>
      </c>
      <c r="S396" s="32">
        <f t="shared" si="133"/>
        <v>0</v>
      </c>
      <c r="T396" s="32">
        <f t="shared" si="133"/>
        <v>0</v>
      </c>
      <c r="U396" s="32">
        <f t="shared" si="133"/>
        <v>0</v>
      </c>
      <c r="V396" s="32">
        <f t="shared" si="133"/>
        <v>0</v>
      </c>
      <c r="W396" s="32">
        <f t="shared" si="133"/>
        <v>0</v>
      </c>
      <c r="X396" s="32">
        <f t="shared" si="133"/>
        <v>0</v>
      </c>
      <c r="Y396" s="32">
        <f t="shared" si="133"/>
        <v>0</v>
      </c>
      <c r="Z396" s="32">
        <f t="shared" si="133"/>
        <v>0</v>
      </c>
      <c r="AA396" s="32">
        <f t="shared" si="133"/>
        <v>0</v>
      </c>
      <c r="AB396" s="32">
        <f t="shared" si="133"/>
        <v>0</v>
      </c>
      <c r="AC396" s="32">
        <f t="shared" si="133"/>
        <v>0</v>
      </c>
      <c r="AD396" s="32">
        <f t="shared" si="133"/>
        <v>0</v>
      </c>
      <c r="AE396" s="32">
        <f t="shared" si="133"/>
        <v>0</v>
      </c>
      <c r="AF396" s="87">
        <f>SUM(AF397:AF399)</f>
        <v>0</v>
      </c>
      <c r="AG396" s="32">
        <f t="shared" si="133"/>
        <v>0</v>
      </c>
      <c r="AH396" s="87">
        <f t="shared" si="133"/>
        <v>0</v>
      </c>
      <c r="AI396" s="34"/>
      <c r="AJ396" s="87">
        <f>SUM(AJ397:AJ399)</f>
        <v>0</v>
      </c>
      <c r="AK396" s="34"/>
    </row>
    <row r="397" spans="1:37" ht="12.75" hidden="1">
      <c r="A397" s="28">
        <v>7510</v>
      </c>
      <c r="C397" t="s">
        <v>529</v>
      </c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6"/>
      <c r="P397" s="25"/>
      <c r="Q397" s="25"/>
      <c r="R397" s="25"/>
      <c r="S397" s="25"/>
      <c r="T397" s="25"/>
      <c r="U397" s="25"/>
      <c r="V397" s="25">
        <f aca="true" t="shared" si="134" ref="V397:V411">U397-P397</f>
        <v>0</v>
      </c>
      <c r="W397" s="25"/>
      <c r="X397" s="25"/>
      <c r="Y397" s="25"/>
      <c r="Z397" s="87"/>
      <c r="AA397" s="89"/>
      <c r="AB397" s="25"/>
      <c r="AC397" s="87"/>
      <c r="AD397" s="25"/>
      <c r="AE397" s="87"/>
      <c r="AF397" s="87"/>
      <c r="AH397" s="89"/>
      <c r="AI397" s="26"/>
      <c r="AJ397" s="89"/>
      <c r="AK397" s="26"/>
    </row>
    <row r="398" spans="1:37" ht="12.75" hidden="1">
      <c r="A398" s="28">
        <v>7511</v>
      </c>
      <c r="C398" t="s">
        <v>530</v>
      </c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6"/>
      <c r="P398" s="25"/>
      <c r="Q398" s="25"/>
      <c r="R398" s="25"/>
      <c r="S398" s="25"/>
      <c r="T398" s="25"/>
      <c r="U398" s="25"/>
      <c r="V398" s="25">
        <f t="shared" si="134"/>
        <v>0</v>
      </c>
      <c r="W398" s="25"/>
      <c r="X398" s="25"/>
      <c r="Y398" s="25"/>
      <c r="Z398" s="87"/>
      <c r="AA398" s="89"/>
      <c r="AB398" s="25"/>
      <c r="AC398" s="87"/>
      <c r="AD398" s="25"/>
      <c r="AE398" s="87"/>
      <c r="AF398" s="87"/>
      <c r="AH398" s="89"/>
      <c r="AI398" s="26"/>
      <c r="AJ398" s="89"/>
      <c r="AK398" s="26"/>
    </row>
    <row r="399" spans="1:37" ht="12.75" hidden="1">
      <c r="A399" s="28">
        <v>7512</v>
      </c>
      <c r="C399" t="s">
        <v>531</v>
      </c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6"/>
      <c r="P399" s="25"/>
      <c r="Q399" s="25"/>
      <c r="R399" s="25"/>
      <c r="S399" s="25"/>
      <c r="T399" s="25"/>
      <c r="U399" s="25"/>
      <c r="V399" s="25">
        <f t="shared" si="134"/>
        <v>0</v>
      </c>
      <c r="W399" s="25"/>
      <c r="X399" s="25"/>
      <c r="Y399" s="25"/>
      <c r="Z399" s="87"/>
      <c r="AA399" s="89"/>
      <c r="AB399" s="25"/>
      <c r="AC399" s="87"/>
      <c r="AD399" s="25"/>
      <c r="AE399" s="87"/>
      <c r="AF399" s="87"/>
      <c r="AH399" s="89"/>
      <c r="AI399" s="26"/>
      <c r="AJ399" s="89"/>
      <c r="AK399" s="26"/>
    </row>
    <row r="400" spans="1:37" ht="12.75">
      <c r="A400" s="28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6"/>
      <c r="P400" s="25"/>
      <c r="Q400" s="25"/>
      <c r="R400" s="25"/>
      <c r="S400" s="25"/>
      <c r="T400" s="25"/>
      <c r="U400" s="25"/>
      <c r="V400" s="25">
        <f t="shared" si="134"/>
        <v>0</v>
      </c>
      <c r="W400" s="25"/>
      <c r="X400" s="25"/>
      <c r="Y400" s="25"/>
      <c r="Z400" s="87"/>
      <c r="AA400" s="89"/>
      <c r="AB400" s="25"/>
      <c r="AC400" s="87"/>
      <c r="AD400" s="25"/>
      <c r="AE400" s="87"/>
      <c r="AF400" s="87"/>
      <c r="AH400" s="89"/>
      <c r="AI400" s="26"/>
      <c r="AJ400" s="89"/>
      <c r="AK400" s="26"/>
    </row>
    <row r="401" spans="1:37" s="47" customFormat="1" ht="15.75">
      <c r="A401" s="46">
        <v>44</v>
      </c>
      <c r="B401" s="57" t="s">
        <v>532</v>
      </c>
      <c r="C401" s="65" t="s">
        <v>533</v>
      </c>
      <c r="D401" s="15">
        <f>D404+D413</f>
        <v>0</v>
      </c>
      <c r="E401" s="15">
        <f>E404+E413</f>
        <v>0</v>
      </c>
      <c r="F401" s="15"/>
      <c r="G401" s="15">
        <f>G404+G413</f>
        <v>0</v>
      </c>
      <c r="H401" s="15">
        <f>H404+H413</f>
        <v>0</v>
      </c>
      <c r="I401" s="15"/>
      <c r="J401" s="15">
        <f>J404+J413</f>
        <v>0</v>
      </c>
      <c r="K401" s="15">
        <f>K404+K413</f>
        <v>0</v>
      </c>
      <c r="L401" s="15">
        <f>L404+L413</f>
        <v>0</v>
      </c>
      <c r="M401" s="15">
        <f>L401-K401</f>
        <v>0</v>
      </c>
      <c r="N401" s="15">
        <f>N404+N413</f>
        <v>0</v>
      </c>
      <c r="O401" s="16"/>
      <c r="P401" s="15">
        <f>P404+P413</f>
        <v>0</v>
      </c>
      <c r="Q401" s="15">
        <f aca="true" t="shared" si="135" ref="Q401:AH401">Q404+Q413</f>
        <v>0</v>
      </c>
      <c r="R401" s="15">
        <f t="shared" si="135"/>
        <v>0</v>
      </c>
      <c r="S401" s="15">
        <f t="shared" si="135"/>
        <v>0</v>
      </c>
      <c r="T401" s="15">
        <f t="shared" si="135"/>
        <v>0</v>
      </c>
      <c r="U401" s="15">
        <f t="shared" si="135"/>
        <v>0</v>
      </c>
      <c r="V401" s="15">
        <f t="shared" si="135"/>
        <v>0</v>
      </c>
      <c r="W401" s="15">
        <f t="shared" si="135"/>
        <v>0</v>
      </c>
      <c r="X401" s="15">
        <f t="shared" si="135"/>
        <v>0</v>
      </c>
      <c r="Y401" s="15">
        <f t="shared" si="135"/>
        <v>0</v>
      </c>
      <c r="Z401" s="15">
        <f t="shared" si="135"/>
        <v>0</v>
      </c>
      <c r="AA401" s="15">
        <f t="shared" si="135"/>
        <v>0</v>
      </c>
      <c r="AB401" s="15">
        <f t="shared" si="135"/>
        <v>0</v>
      </c>
      <c r="AC401" s="15">
        <f t="shared" si="135"/>
        <v>0</v>
      </c>
      <c r="AD401" s="15">
        <f t="shared" si="135"/>
        <v>0</v>
      </c>
      <c r="AE401" s="15">
        <f t="shared" si="135"/>
        <v>0</v>
      </c>
      <c r="AF401" s="91">
        <f>AF404+AF413</f>
        <v>0</v>
      </c>
      <c r="AG401" s="15">
        <f t="shared" si="135"/>
        <v>18000000</v>
      </c>
      <c r="AH401" s="91">
        <f t="shared" si="135"/>
        <v>0</v>
      </c>
      <c r="AI401" s="16">
        <f>+AH401/AG401*100</f>
        <v>0</v>
      </c>
      <c r="AJ401" s="91">
        <f>AJ404+AJ413</f>
        <v>0</v>
      </c>
      <c r="AK401" s="16">
        <f>+AJ401/AG401*100</f>
        <v>0</v>
      </c>
    </row>
    <row r="402" spans="1:37" s="47" customFormat="1" ht="15.75">
      <c r="A402" s="46"/>
      <c r="C402" s="73" t="s">
        <v>534</v>
      </c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6"/>
      <c r="P402" s="15"/>
      <c r="Q402" s="15"/>
      <c r="R402" s="15"/>
      <c r="S402" s="15"/>
      <c r="T402" s="15"/>
      <c r="U402" s="15"/>
      <c r="V402" s="15">
        <f t="shared" si="134"/>
        <v>0</v>
      </c>
      <c r="W402" s="15"/>
      <c r="X402" s="15"/>
      <c r="Y402" s="15"/>
      <c r="Z402" s="87"/>
      <c r="AA402" s="91"/>
      <c r="AB402" s="15"/>
      <c r="AC402" s="87"/>
      <c r="AD402" s="15"/>
      <c r="AE402" s="87"/>
      <c r="AF402" s="87"/>
      <c r="AG402" s="25"/>
      <c r="AH402" s="91"/>
      <c r="AI402" s="16"/>
      <c r="AJ402" s="91"/>
      <c r="AK402" s="16"/>
    </row>
    <row r="403" spans="1:37" ht="12.75">
      <c r="A403" s="28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6"/>
      <c r="P403" s="25"/>
      <c r="Q403" s="25"/>
      <c r="R403" s="25"/>
      <c r="S403" s="25"/>
      <c r="T403" s="25"/>
      <c r="U403" s="25"/>
      <c r="V403" s="25">
        <f t="shared" si="134"/>
        <v>0</v>
      </c>
      <c r="W403" s="25"/>
      <c r="X403" s="25"/>
      <c r="Y403" s="25"/>
      <c r="Z403" s="87"/>
      <c r="AA403" s="89"/>
      <c r="AB403" s="25"/>
      <c r="AC403" s="87"/>
      <c r="AD403" s="25"/>
      <c r="AE403" s="87"/>
      <c r="AF403" s="87"/>
      <c r="AH403" s="89"/>
      <c r="AI403" s="26"/>
      <c r="AJ403" s="89"/>
      <c r="AK403" s="26"/>
    </row>
    <row r="404" spans="1:37" s="31" customFormat="1" ht="12.75">
      <c r="A404" s="30">
        <v>440</v>
      </c>
      <c r="C404" s="31" t="s">
        <v>535</v>
      </c>
      <c r="D404" s="32">
        <f>SUM(D405:D411)</f>
        <v>0</v>
      </c>
      <c r="E404" s="32">
        <f>SUM(E405:E411)</f>
        <v>0</v>
      </c>
      <c r="F404" s="32"/>
      <c r="G404" s="32">
        <f>SUM(G405:G411)</f>
        <v>0</v>
      </c>
      <c r="H404" s="32">
        <f>SUM(H405:H411)</f>
        <v>0</v>
      </c>
      <c r="I404" s="32"/>
      <c r="J404" s="32">
        <f>SUM(J405:J411)</f>
        <v>0</v>
      </c>
      <c r="K404" s="32">
        <f>SUM(K405:K411)</f>
        <v>0</v>
      </c>
      <c r="L404" s="32">
        <f>SUM(L405:L411)</f>
        <v>0</v>
      </c>
      <c r="M404" s="33">
        <f>L404-K404</f>
        <v>0</v>
      </c>
      <c r="N404" s="32">
        <f>SUM(N405:N411)</f>
        <v>0</v>
      </c>
      <c r="O404" s="34"/>
      <c r="P404" s="32">
        <f>SUM(P405:P411)</f>
        <v>0</v>
      </c>
      <c r="Q404" s="32">
        <f aca="true" t="shared" si="136" ref="Q404:AH404">SUM(Q405:Q411)</f>
        <v>0</v>
      </c>
      <c r="R404" s="32">
        <f t="shared" si="136"/>
        <v>0</v>
      </c>
      <c r="S404" s="32">
        <f t="shared" si="136"/>
        <v>0</v>
      </c>
      <c r="T404" s="32">
        <f t="shared" si="136"/>
        <v>0</v>
      </c>
      <c r="U404" s="32">
        <f t="shared" si="136"/>
        <v>0</v>
      </c>
      <c r="V404" s="32">
        <f t="shared" si="136"/>
        <v>0</v>
      </c>
      <c r="W404" s="32">
        <f t="shared" si="136"/>
        <v>0</v>
      </c>
      <c r="X404" s="32">
        <f t="shared" si="136"/>
        <v>0</v>
      </c>
      <c r="Y404" s="32">
        <f t="shared" si="136"/>
        <v>0</v>
      </c>
      <c r="Z404" s="32">
        <f t="shared" si="136"/>
        <v>0</v>
      </c>
      <c r="AA404" s="32">
        <f t="shared" si="136"/>
        <v>0</v>
      </c>
      <c r="AB404" s="32">
        <f t="shared" si="136"/>
        <v>0</v>
      </c>
      <c r="AC404" s="32">
        <f t="shared" si="136"/>
        <v>0</v>
      </c>
      <c r="AD404" s="32">
        <f t="shared" si="136"/>
        <v>0</v>
      </c>
      <c r="AE404" s="32">
        <f t="shared" si="136"/>
        <v>0</v>
      </c>
      <c r="AF404" s="87">
        <f>SUM(AF405:AF411)</f>
        <v>0</v>
      </c>
      <c r="AG404" s="32">
        <f t="shared" si="136"/>
        <v>18000000</v>
      </c>
      <c r="AH404" s="87">
        <f t="shared" si="136"/>
        <v>0</v>
      </c>
      <c r="AI404" s="34">
        <f>+AH404/AG404*100</f>
        <v>0</v>
      </c>
      <c r="AJ404" s="87">
        <f>SUM(AJ405:AJ411)</f>
        <v>0</v>
      </c>
      <c r="AK404" s="34">
        <f aca="true" t="shared" si="137" ref="AK404:AK411">+AJ404/AG404*100</f>
        <v>0</v>
      </c>
    </row>
    <row r="405" spans="1:37" ht="12.75" hidden="1">
      <c r="A405" s="28">
        <v>4400</v>
      </c>
      <c r="C405" t="s">
        <v>536</v>
      </c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6"/>
      <c r="P405" s="25"/>
      <c r="Q405" s="25"/>
      <c r="R405" s="25"/>
      <c r="S405" s="25"/>
      <c r="T405" s="25"/>
      <c r="U405" s="25"/>
      <c r="V405" s="25">
        <f t="shared" si="134"/>
        <v>0</v>
      </c>
      <c r="W405" s="25"/>
      <c r="X405" s="25"/>
      <c r="Y405" s="25"/>
      <c r="Z405" s="87"/>
      <c r="AA405" s="89"/>
      <c r="AB405" s="25"/>
      <c r="AC405" s="87"/>
      <c r="AD405" s="25"/>
      <c r="AE405" s="87"/>
      <c r="AF405" s="87"/>
      <c r="AH405" s="89"/>
      <c r="AI405" s="26"/>
      <c r="AJ405" s="89"/>
      <c r="AK405" s="26" t="e">
        <f t="shared" si="137"/>
        <v>#DIV/0!</v>
      </c>
    </row>
    <row r="406" spans="1:37" ht="12.75" hidden="1">
      <c r="A406" s="28">
        <v>4401</v>
      </c>
      <c r="C406" t="s">
        <v>537</v>
      </c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6"/>
      <c r="P406" s="25"/>
      <c r="Q406" s="25"/>
      <c r="R406" s="25"/>
      <c r="S406" s="25"/>
      <c r="T406" s="25"/>
      <c r="U406" s="25"/>
      <c r="V406" s="25">
        <f t="shared" si="134"/>
        <v>0</v>
      </c>
      <c r="W406" s="25"/>
      <c r="X406" s="25"/>
      <c r="Y406" s="25"/>
      <c r="Z406" s="87"/>
      <c r="AA406" s="89"/>
      <c r="AB406" s="25"/>
      <c r="AC406" s="87"/>
      <c r="AD406" s="25"/>
      <c r="AE406" s="87"/>
      <c r="AF406" s="87"/>
      <c r="AH406" s="89"/>
      <c r="AI406" s="26"/>
      <c r="AJ406" s="89"/>
      <c r="AK406" s="26" t="e">
        <f t="shared" si="137"/>
        <v>#DIV/0!</v>
      </c>
    </row>
    <row r="407" spans="1:37" ht="12.75" hidden="1">
      <c r="A407" s="28">
        <v>4402</v>
      </c>
      <c r="C407" t="s">
        <v>538</v>
      </c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6"/>
      <c r="P407" s="25"/>
      <c r="Q407" s="25"/>
      <c r="R407" s="25"/>
      <c r="S407" s="25"/>
      <c r="T407" s="25"/>
      <c r="U407" s="25"/>
      <c r="V407" s="25">
        <f t="shared" si="134"/>
        <v>0</v>
      </c>
      <c r="W407" s="25"/>
      <c r="X407" s="25"/>
      <c r="Y407" s="25"/>
      <c r="Z407" s="87"/>
      <c r="AA407" s="89"/>
      <c r="AB407" s="25"/>
      <c r="AC407" s="87"/>
      <c r="AD407" s="25"/>
      <c r="AE407" s="87"/>
      <c r="AF407" s="87"/>
      <c r="AH407" s="89"/>
      <c r="AI407" s="26"/>
      <c r="AJ407" s="89"/>
      <c r="AK407" s="26" t="e">
        <f t="shared" si="137"/>
        <v>#DIV/0!</v>
      </c>
    </row>
    <row r="408" spans="1:37" ht="12.75" hidden="1">
      <c r="A408" s="28">
        <v>4403</v>
      </c>
      <c r="C408" t="s">
        <v>539</v>
      </c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6"/>
      <c r="P408" s="25"/>
      <c r="Q408" s="25"/>
      <c r="R408" s="25"/>
      <c r="S408" s="25"/>
      <c r="T408" s="25"/>
      <c r="U408" s="25"/>
      <c r="V408" s="25">
        <f t="shared" si="134"/>
        <v>0</v>
      </c>
      <c r="W408" s="25"/>
      <c r="X408" s="25"/>
      <c r="Y408" s="25"/>
      <c r="Z408" s="87"/>
      <c r="AA408" s="89"/>
      <c r="AB408" s="25"/>
      <c r="AC408" s="87"/>
      <c r="AD408" s="25"/>
      <c r="AE408" s="87"/>
      <c r="AF408" s="87"/>
      <c r="AH408" s="89"/>
      <c r="AI408" s="26"/>
      <c r="AJ408" s="89"/>
      <c r="AK408" s="26" t="e">
        <f t="shared" si="137"/>
        <v>#DIV/0!</v>
      </c>
    </row>
    <row r="409" spans="1:37" s="36" customFormat="1" ht="11.25">
      <c r="A409" s="8">
        <v>4404</v>
      </c>
      <c r="C409" s="36" t="s">
        <v>540</v>
      </c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9"/>
      <c r="P409" s="37"/>
      <c r="Q409" s="37"/>
      <c r="R409" s="37"/>
      <c r="S409" s="37"/>
      <c r="T409" s="37"/>
      <c r="U409" s="37"/>
      <c r="V409" s="37">
        <f t="shared" si="134"/>
        <v>0</v>
      </c>
      <c r="W409" s="37"/>
      <c r="X409" s="37"/>
      <c r="Y409" s="37"/>
      <c r="Z409" s="102"/>
      <c r="AA409" s="88"/>
      <c r="AB409" s="37"/>
      <c r="AC409" s="102"/>
      <c r="AD409" s="37"/>
      <c r="AE409" s="102"/>
      <c r="AF409" s="102"/>
      <c r="AG409" s="37">
        <v>18000000</v>
      </c>
      <c r="AH409" s="88">
        <v>0</v>
      </c>
      <c r="AI409" s="39">
        <f>+AH409/AG409*100</f>
        <v>0</v>
      </c>
      <c r="AJ409" s="88">
        <v>0</v>
      </c>
      <c r="AK409" s="39">
        <f t="shared" si="137"/>
        <v>0</v>
      </c>
    </row>
    <row r="410" spans="1:37" ht="12.75" hidden="1">
      <c r="A410" s="28">
        <v>4405</v>
      </c>
      <c r="C410" t="s">
        <v>541</v>
      </c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6"/>
      <c r="P410" s="25"/>
      <c r="Q410" s="25"/>
      <c r="R410" s="25"/>
      <c r="S410" s="25"/>
      <c r="T410" s="25"/>
      <c r="U410" s="25"/>
      <c r="V410" s="25">
        <f t="shared" si="134"/>
        <v>0</v>
      </c>
      <c r="W410" s="25"/>
      <c r="X410" s="25"/>
      <c r="Y410" s="25"/>
      <c r="Z410" s="87"/>
      <c r="AA410" s="89"/>
      <c r="AB410" s="25"/>
      <c r="AC410" s="87"/>
      <c r="AD410" s="25"/>
      <c r="AE410" s="87"/>
      <c r="AF410" s="87"/>
      <c r="AH410" s="89"/>
      <c r="AI410" s="26"/>
      <c r="AJ410" s="89"/>
      <c r="AK410" s="26" t="e">
        <f t="shared" si="137"/>
        <v>#DIV/0!</v>
      </c>
    </row>
    <row r="411" spans="1:37" ht="12.75" hidden="1">
      <c r="A411" s="28">
        <v>4406</v>
      </c>
      <c r="C411" t="s">
        <v>542</v>
      </c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6"/>
      <c r="P411" s="25"/>
      <c r="Q411" s="25"/>
      <c r="R411" s="25"/>
      <c r="S411" s="25"/>
      <c r="T411" s="25"/>
      <c r="U411" s="25"/>
      <c r="V411" s="25">
        <f t="shared" si="134"/>
        <v>0</v>
      </c>
      <c r="W411" s="25"/>
      <c r="X411" s="25"/>
      <c r="Y411" s="25"/>
      <c r="Z411" s="87"/>
      <c r="AA411" s="89"/>
      <c r="AB411" s="25"/>
      <c r="AC411" s="87"/>
      <c r="AD411" s="25"/>
      <c r="AE411" s="87"/>
      <c r="AF411" s="87"/>
      <c r="AH411" s="89"/>
      <c r="AI411" s="26"/>
      <c r="AJ411" s="89"/>
      <c r="AK411" s="26" t="e">
        <f t="shared" si="137"/>
        <v>#DIV/0!</v>
      </c>
    </row>
    <row r="412" spans="1:37" ht="12.75" customHeight="1">
      <c r="A412" s="28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6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87"/>
      <c r="AA412" s="89"/>
      <c r="AB412" s="25"/>
      <c r="AC412" s="87"/>
      <c r="AD412" s="25"/>
      <c r="AE412" s="87"/>
      <c r="AF412" s="87"/>
      <c r="AH412" s="89"/>
      <c r="AI412" s="26"/>
      <c r="AJ412" s="89"/>
      <c r="AK412" s="26"/>
    </row>
    <row r="413" spans="1:37" s="31" customFormat="1" ht="12.75">
      <c r="A413" s="30">
        <v>441</v>
      </c>
      <c r="C413" s="31" t="s">
        <v>543</v>
      </c>
      <c r="D413" s="32">
        <f>SUM(D414:D418)</f>
        <v>0</v>
      </c>
      <c r="E413" s="32">
        <f>SUM(E414:E418)</f>
        <v>0</v>
      </c>
      <c r="F413" s="32"/>
      <c r="G413" s="32">
        <f>SUM(G414:G418)</f>
        <v>0</v>
      </c>
      <c r="H413" s="32">
        <f>SUM(H414:H418)</f>
        <v>0</v>
      </c>
      <c r="I413" s="32"/>
      <c r="J413" s="32">
        <f>SUM(J414:J418)</f>
        <v>0</v>
      </c>
      <c r="K413" s="32">
        <f>SUM(K414:K418)</f>
        <v>0</v>
      </c>
      <c r="L413" s="32">
        <f>SUM(L414:L418)</f>
        <v>0</v>
      </c>
      <c r="M413" s="33">
        <f>L413-K413</f>
        <v>0</v>
      </c>
      <c r="N413" s="32">
        <f>SUM(N414:N418)</f>
        <v>0</v>
      </c>
      <c r="O413" s="34"/>
      <c r="P413" s="32">
        <f>SUM(P414:P418)</f>
        <v>0</v>
      </c>
      <c r="Q413" s="32">
        <f aca="true" t="shared" si="138" ref="Q413:AH413">SUM(Q414:Q418)</f>
        <v>0</v>
      </c>
      <c r="R413" s="32">
        <f t="shared" si="138"/>
        <v>0</v>
      </c>
      <c r="S413" s="32">
        <f t="shared" si="138"/>
        <v>0</v>
      </c>
      <c r="T413" s="32">
        <f t="shared" si="138"/>
        <v>0</v>
      </c>
      <c r="U413" s="32">
        <f t="shared" si="138"/>
        <v>0</v>
      </c>
      <c r="V413" s="32">
        <f t="shared" si="138"/>
        <v>0</v>
      </c>
      <c r="W413" s="32">
        <f t="shared" si="138"/>
        <v>0</v>
      </c>
      <c r="X413" s="32">
        <f t="shared" si="138"/>
        <v>0</v>
      </c>
      <c r="Y413" s="32">
        <f t="shared" si="138"/>
        <v>0</v>
      </c>
      <c r="Z413" s="32">
        <f t="shared" si="138"/>
        <v>0</v>
      </c>
      <c r="AA413" s="32">
        <f t="shared" si="138"/>
        <v>0</v>
      </c>
      <c r="AB413" s="32">
        <f t="shared" si="138"/>
        <v>0</v>
      </c>
      <c r="AC413" s="32">
        <f t="shared" si="138"/>
        <v>0</v>
      </c>
      <c r="AD413" s="32">
        <f t="shared" si="138"/>
        <v>0</v>
      </c>
      <c r="AE413" s="32">
        <f t="shared" si="138"/>
        <v>0</v>
      </c>
      <c r="AF413" s="87">
        <f>SUM(AF414:AF418)</f>
        <v>0</v>
      </c>
      <c r="AG413" s="32">
        <f t="shared" si="138"/>
        <v>0</v>
      </c>
      <c r="AH413" s="32">
        <f t="shared" si="138"/>
        <v>0</v>
      </c>
      <c r="AI413" s="34"/>
      <c r="AJ413" s="87">
        <f>SUM(AJ414:AJ418)</f>
        <v>0</v>
      </c>
      <c r="AK413" s="34"/>
    </row>
    <row r="414" spans="1:37" ht="12.75" hidden="1">
      <c r="A414" s="28">
        <v>4410</v>
      </c>
      <c r="C414" t="s">
        <v>544</v>
      </c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6"/>
      <c r="P414" s="25"/>
      <c r="Q414" s="25"/>
      <c r="R414" s="25"/>
      <c r="S414" s="25"/>
      <c r="T414" s="25"/>
      <c r="U414" s="25"/>
      <c r="V414" s="25">
        <f aca="true" t="shared" si="139" ref="V414:V421">U414-P414</f>
        <v>0</v>
      </c>
      <c r="W414" s="25"/>
      <c r="X414" s="25"/>
      <c r="Y414" s="25"/>
      <c r="Z414" s="87"/>
      <c r="AA414" s="89"/>
      <c r="AB414" s="25"/>
      <c r="AC414" s="87"/>
      <c r="AD414" s="25"/>
      <c r="AE414" s="87"/>
      <c r="AF414" s="87"/>
      <c r="AH414" s="89"/>
      <c r="AI414" s="26"/>
      <c r="AJ414" s="89"/>
      <c r="AK414" s="26" t="e">
        <f>+AJ414/AG414*100</f>
        <v>#DIV/0!</v>
      </c>
    </row>
    <row r="415" spans="1:37" ht="12.75" hidden="1">
      <c r="A415" s="28">
        <v>4411</v>
      </c>
      <c r="C415" t="s">
        <v>545</v>
      </c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6"/>
      <c r="P415" s="25"/>
      <c r="Q415" s="25"/>
      <c r="R415" s="25"/>
      <c r="S415" s="25"/>
      <c r="T415" s="25"/>
      <c r="U415" s="25"/>
      <c r="V415" s="25">
        <f t="shared" si="139"/>
        <v>0</v>
      </c>
      <c r="W415" s="25"/>
      <c r="X415" s="25"/>
      <c r="Y415" s="25"/>
      <c r="Z415" s="87"/>
      <c r="AA415" s="89"/>
      <c r="AB415" s="25"/>
      <c r="AC415" s="87"/>
      <c r="AD415" s="25"/>
      <c r="AE415" s="87"/>
      <c r="AF415" s="87"/>
      <c r="AH415" s="89"/>
      <c r="AI415" s="26"/>
      <c r="AJ415" s="89"/>
      <c r="AK415" s="26" t="e">
        <f>+AJ415/AG415*100</f>
        <v>#DIV/0!</v>
      </c>
    </row>
    <row r="416" spans="1:37" ht="12.75" hidden="1">
      <c r="A416" s="28">
        <v>4412</v>
      </c>
      <c r="C416" t="s">
        <v>546</v>
      </c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6"/>
      <c r="P416" s="25"/>
      <c r="Q416" s="25"/>
      <c r="R416" s="25"/>
      <c r="S416" s="25"/>
      <c r="T416" s="25"/>
      <c r="U416" s="25"/>
      <c r="V416" s="25">
        <f t="shared" si="139"/>
        <v>0</v>
      </c>
      <c r="W416" s="25"/>
      <c r="X416" s="25"/>
      <c r="Y416" s="25"/>
      <c r="Z416" s="87"/>
      <c r="AA416" s="89"/>
      <c r="AB416" s="25"/>
      <c r="AC416" s="87"/>
      <c r="AD416" s="25"/>
      <c r="AE416" s="87"/>
      <c r="AF416" s="87"/>
      <c r="AH416" s="89"/>
      <c r="AI416" s="26"/>
      <c r="AJ416" s="89"/>
      <c r="AK416" s="26" t="e">
        <f>+AJ416/AG416*100</f>
        <v>#DIV/0!</v>
      </c>
    </row>
    <row r="417" spans="1:37" ht="12.75" hidden="1">
      <c r="A417" s="28">
        <v>4413</v>
      </c>
      <c r="C417" t="s">
        <v>547</v>
      </c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6"/>
      <c r="P417" s="25"/>
      <c r="Q417" s="25"/>
      <c r="R417" s="25"/>
      <c r="S417" s="25"/>
      <c r="T417" s="25"/>
      <c r="U417" s="25"/>
      <c r="V417" s="25">
        <f t="shared" si="139"/>
        <v>0</v>
      </c>
      <c r="W417" s="25"/>
      <c r="X417" s="25"/>
      <c r="Y417" s="25"/>
      <c r="Z417" s="87"/>
      <c r="AA417" s="89"/>
      <c r="AB417" s="25"/>
      <c r="AC417" s="87"/>
      <c r="AD417" s="25"/>
      <c r="AE417" s="87"/>
      <c r="AF417" s="87"/>
      <c r="AH417" s="89"/>
      <c r="AI417" s="26"/>
      <c r="AJ417" s="89"/>
      <c r="AK417" s="26" t="e">
        <f>+AJ417/AG417*100</f>
        <v>#DIV/0!</v>
      </c>
    </row>
    <row r="418" spans="1:37" ht="12.75" hidden="1">
      <c r="A418" s="28">
        <v>4414</v>
      </c>
      <c r="C418" t="s">
        <v>548</v>
      </c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6"/>
      <c r="P418" s="25"/>
      <c r="Q418" s="25"/>
      <c r="R418" s="25"/>
      <c r="S418" s="25"/>
      <c r="T418" s="25"/>
      <c r="U418" s="25"/>
      <c r="V418" s="25">
        <f t="shared" si="139"/>
        <v>0</v>
      </c>
      <c r="W418" s="25"/>
      <c r="X418" s="25"/>
      <c r="Y418" s="25"/>
      <c r="Z418" s="87"/>
      <c r="AA418" s="89"/>
      <c r="AB418" s="25"/>
      <c r="AC418" s="87"/>
      <c r="AD418" s="25"/>
      <c r="AE418" s="87"/>
      <c r="AF418" s="87"/>
      <c r="AH418" s="89"/>
      <c r="AI418" s="26"/>
      <c r="AJ418" s="89"/>
      <c r="AK418" s="26" t="e">
        <f>+AJ418/AG418*100</f>
        <v>#DIV/0!</v>
      </c>
    </row>
    <row r="419" spans="1:37" ht="12.75">
      <c r="A419" s="28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6"/>
      <c r="P419" s="25"/>
      <c r="Q419" s="25"/>
      <c r="R419" s="25"/>
      <c r="S419" s="25"/>
      <c r="T419" s="25"/>
      <c r="U419" s="25"/>
      <c r="V419" s="25">
        <f t="shared" si="139"/>
        <v>0</v>
      </c>
      <c r="W419" s="25"/>
      <c r="X419" s="25"/>
      <c r="Y419" s="25"/>
      <c r="Z419" s="87"/>
      <c r="AA419" s="89"/>
      <c r="AB419" s="25"/>
      <c r="AC419" s="87"/>
      <c r="AD419" s="25"/>
      <c r="AE419" s="87"/>
      <c r="AF419" s="87"/>
      <c r="AH419" s="89"/>
      <c r="AI419" s="26"/>
      <c r="AJ419" s="89"/>
      <c r="AK419" s="26"/>
    </row>
    <row r="420" spans="1:37" s="47" customFormat="1" ht="15.75">
      <c r="A420" s="46"/>
      <c r="B420" s="57" t="s">
        <v>549</v>
      </c>
      <c r="C420" s="65" t="s">
        <v>550</v>
      </c>
      <c r="D420" s="15">
        <f>D388-D401</f>
        <v>13000000</v>
      </c>
      <c r="E420" s="15">
        <f>E388-E401</f>
        <v>0</v>
      </c>
      <c r="F420" s="16"/>
      <c r="G420" s="15">
        <f>G388-G401</f>
        <v>14000000</v>
      </c>
      <c r="H420" s="15">
        <f>H388-H401</f>
        <v>16000000</v>
      </c>
      <c r="I420" s="16">
        <f>H420/G420*100</f>
        <v>114.28571428571428</v>
      </c>
      <c r="J420" s="15">
        <f>J388-J401</f>
        <v>0</v>
      </c>
      <c r="K420" s="15">
        <f>K388-K401</f>
        <v>6000000</v>
      </c>
      <c r="L420" s="15">
        <f>L388-L401</f>
        <v>23636000</v>
      </c>
      <c r="M420" s="15">
        <f>L420-K420</f>
        <v>17636000</v>
      </c>
      <c r="N420" s="15">
        <f>N388-N401</f>
        <v>32163959.49</v>
      </c>
      <c r="O420" s="16">
        <f>N420/L420*100</f>
        <v>136.0803836943645</v>
      </c>
      <c r="P420" s="15">
        <f aca="true" t="shared" si="140" ref="P420:AH420">P388-P401</f>
        <v>0</v>
      </c>
      <c r="Q420" s="15">
        <f t="shared" si="140"/>
        <v>0</v>
      </c>
      <c r="R420" s="15">
        <f t="shared" si="140"/>
        <v>0</v>
      </c>
      <c r="S420" s="15">
        <f t="shared" si="140"/>
        <v>0</v>
      </c>
      <c r="T420" s="15">
        <f t="shared" si="140"/>
        <v>0</v>
      </c>
      <c r="U420" s="15">
        <f t="shared" si="140"/>
        <v>0</v>
      </c>
      <c r="V420" s="15">
        <f t="shared" si="140"/>
        <v>0</v>
      </c>
      <c r="W420" s="15">
        <f t="shared" si="140"/>
        <v>0</v>
      </c>
      <c r="X420" s="15">
        <f t="shared" si="140"/>
        <v>0</v>
      </c>
      <c r="Y420" s="15">
        <f t="shared" si="140"/>
        <v>0</v>
      </c>
      <c r="Z420" s="15">
        <f t="shared" si="140"/>
        <v>0</v>
      </c>
      <c r="AA420" s="15">
        <f t="shared" si="140"/>
        <v>0</v>
      </c>
      <c r="AB420" s="15">
        <f t="shared" si="140"/>
        <v>0</v>
      </c>
      <c r="AC420" s="15">
        <f t="shared" si="140"/>
        <v>0</v>
      </c>
      <c r="AD420" s="15">
        <f t="shared" si="140"/>
        <v>0</v>
      </c>
      <c r="AE420" s="15">
        <f t="shared" si="140"/>
        <v>0</v>
      </c>
      <c r="AF420" s="91">
        <f t="shared" si="140"/>
        <v>6500000</v>
      </c>
      <c r="AG420" s="15">
        <f t="shared" si="140"/>
        <v>-18000000</v>
      </c>
      <c r="AH420" s="91">
        <f t="shared" si="140"/>
        <v>0</v>
      </c>
      <c r="AI420" s="16">
        <f>+AH420/AG420*100</f>
        <v>0</v>
      </c>
      <c r="AJ420" s="91">
        <f>AJ388-AJ401</f>
        <v>0</v>
      </c>
      <c r="AK420" s="16">
        <f>+AJ420/AG420*100</f>
        <v>0</v>
      </c>
    </row>
    <row r="421" spans="1:37" s="47" customFormat="1" ht="15.75">
      <c r="A421" s="46"/>
      <c r="C421" s="75" t="s">
        <v>551</v>
      </c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6"/>
      <c r="P421" s="15"/>
      <c r="Q421" s="15"/>
      <c r="R421" s="15"/>
      <c r="S421" s="15"/>
      <c r="T421" s="15"/>
      <c r="U421" s="15"/>
      <c r="V421" s="15">
        <f t="shared" si="139"/>
        <v>0</v>
      </c>
      <c r="W421" s="15"/>
      <c r="X421" s="15"/>
      <c r="Y421" s="15"/>
      <c r="Z421" s="87"/>
      <c r="AA421" s="91"/>
      <c r="AB421" s="15"/>
      <c r="AC421" s="87"/>
      <c r="AD421" s="15"/>
      <c r="AE421" s="87"/>
      <c r="AF421" s="87"/>
      <c r="AG421" s="25"/>
      <c r="AH421" s="91"/>
      <c r="AI421" s="16"/>
      <c r="AJ421" s="91"/>
      <c r="AK421" s="16"/>
    </row>
    <row r="422" spans="1:37" s="47" customFormat="1" ht="15.75">
      <c r="A422" s="46"/>
      <c r="C422" s="67" t="s">
        <v>552</v>
      </c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6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87"/>
      <c r="AA422" s="91"/>
      <c r="AB422" s="15"/>
      <c r="AC422" s="87"/>
      <c r="AD422" s="15"/>
      <c r="AE422" s="87"/>
      <c r="AF422" s="87"/>
      <c r="AG422" s="25"/>
      <c r="AH422" s="91"/>
      <c r="AI422" s="16"/>
      <c r="AJ422" s="91"/>
      <c r="AK422" s="16"/>
    </row>
    <row r="423" spans="1:37" ht="12.75">
      <c r="A423" s="28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6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87"/>
      <c r="AA423" s="89"/>
      <c r="AB423" s="25"/>
      <c r="AC423" s="87"/>
      <c r="AD423" s="25"/>
      <c r="AE423" s="87"/>
      <c r="AF423" s="87"/>
      <c r="AH423" s="89"/>
      <c r="AI423" s="26"/>
      <c r="AJ423" s="89"/>
      <c r="AK423" s="26"/>
    </row>
    <row r="424" spans="1:37" s="47" customFormat="1" ht="15.75">
      <c r="A424" s="46"/>
      <c r="B424" s="57" t="s">
        <v>553</v>
      </c>
      <c r="C424" s="65" t="s">
        <v>554</v>
      </c>
      <c r="D424" s="15">
        <f>(D7+D388)-(D279+D401)</f>
        <v>-2268598000</v>
      </c>
      <c r="E424" s="15">
        <f>(E7+E388)-(E279+E401)</f>
        <v>-821962769</v>
      </c>
      <c r="F424" s="16">
        <f>E424/D424*100</f>
        <v>36.232191379874266</v>
      </c>
      <c r="G424" s="15">
        <f>(G7+G388)-(G279+G401)</f>
        <v>-2328314000</v>
      </c>
      <c r="H424" s="15">
        <f>(H7+H388)-(H279+H401)</f>
        <v>1653842402.6099987</v>
      </c>
      <c r="I424" s="16">
        <f>H424/G424*100</f>
        <v>-71.03175957409519</v>
      </c>
      <c r="J424" s="15" t="e">
        <f>(J7+J388)-(J279+J401)</f>
        <v>#REF!</v>
      </c>
      <c r="K424" s="15">
        <f>(K7+K388)-(K279+K401)</f>
        <v>-2620876066</v>
      </c>
      <c r="L424" s="15">
        <f>(L7+L388)-(L279+L401)</f>
        <v>-2513076066</v>
      </c>
      <c r="M424" s="15">
        <f>K424-L424</f>
        <v>-107800000</v>
      </c>
      <c r="N424" s="15">
        <f>(N7+N388)-(N279+N401)</f>
        <v>289642341.30999947</v>
      </c>
      <c r="O424" s="16">
        <f>N424/L424*100</f>
        <v>-11.525410839275386</v>
      </c>
      <c r="P424" s="15">
        <f aca="true" t="shared" si="141" ref="P424:AH424">(P7+P388)-(P279+P401)</f>
        <v>-2385030000</v>
      </c>
      <c r="Q424" s="15">
        <f t="shared" si="141"/>
        <v>99.89158586529999</v>
      </c>
      <c r="R424" s="15" t="e">
        <f t="shared" si="141"/>
        <v>#DIV/0!</v>
      </c>
      <c r="S424" s="15">
        <f t="shared" si="141"/>
        <v>-7259.749166877762</v>
      </c>
      <c r="T424" s="15">
        <f t="shared" si="141"/>
        <v>-2385030000</v>
      </c>
      <c r="U424" s="15">
        <f t="shared" si="141"/>
        <v>-1842007300</v>
      </c>
      <c r="V424" s="15">
        <f t="shared" si="141"/>
        <v>543022700</v>
      </c>
      <c r="W424" s="15">
        <f t="shared" si="141"/>
        <v>662030200</v>
      </c>
      <c r="X424" s="15">
        <f t="shared" si="141"/>
        <v>-119007500</v>
      </c>
      <c r="Y424" s="15">
        <f t="shared" si="141"/>
        <v>-32955288.4799999</v>
      </c>
      <c r="Z424" s="15">
        <f t="shared" si="141"/>
        <v>-243.30744771925114</v>
      </c>
      <c r="AA424" s="15">
        <f t="shared" si="141"/>
        <v>600000</v>
      </c>
      <c r="AB424" s="15">
        <f t="shared" si="141"/>
        <v>-91553542.07000017</v>
      </c>
      <c r="AC424" s="15" t="e">
        <f t="shared" si="141"/>
        <v>#DIV/0!</v>
      </c>
      <c r="AD424" s="15">
        <f t="shared" si="141"/>
        <v>122601494.24999905</v>
      </c>
      <c r="AE424" s="15" t="e">
        <f t="shared" si="141"/>
        <v>#DIV/0!</v>
      </c>
      <c r="AF424" s="91">
        <f t="shared" si="141"/>
        <v>2703113929.002859</v>
      </c>
      <c r="AG424" s="15">
        <f t="shared" si="141"/>
        <v>-2796428125</v>
      </c>
      <c r="AH424" s="91">
        <f t="shared" si="141"/>
        <v>-22193554.57999897</v>
      </c>
      <c r="AI424" s="16">
        <f>+AH424/AG424*100</f>
        <v>0.7936393709385601</v>
      </c>
      <c r="AJ424" s="91">
        <f>(AJ7+AJ388)-(AJ279+AJ401)</f>
        <v>-44145873.24999905</v>
      </c>
      <c r="AK424" s="16">
        <f>+AJ424/AG424*100</f>
        <v>1.5786521690057402</v>
      </c>
    </row>
    <row r="425" spans="1:37" s="47" customFormat="1" ht="15.75">
      <c r="A425" s="46"/>
      <c r="C425" s="67" t="s">
        <v>555</v>
      </c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6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87"/>
      <c r="AA425" s="91"/>
      <c r="AB425" s="15"/>
      <c r="AC425" s="87"/>
      <c r="AD425" s="15"/>
      <c r="AE425" s="87"/>
      <c r="AF425" s="87"/>
      <c r="AG425" s="25"/>
      <c r="AH425" s="91"/>
      <c r="AI425" s="16"/>
      <c r="AJ425" s="91"/>
      <c r="AK425" s="16"/>
    </row>
    <row r="426" spans="1:37" ht="12.75">
      <c r="A426" s="28"/>
      <c r="C426" t="s">
        <v>556</v>
      </c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6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87"/>
      <c r="AA426" s="89"/>
      <c r="AB426" s="25"/>
      <c r="AC426" s="87"/>
      <c r="AD426" s="25"/>
      <c r="AE426" s="87"/>
      <c r="AF426" s="87"/>
      <c r="AH426" s="89"/>
      <c r="AI426" s="26"/>
      <c r="AJ426" s="89"/>
      <c r="AK426" s="26"/>
    </row>
    <row r="427" spans="1:37" ht="12.75">
      <c r="A427" s="28"/>
      <c r="C427" t="s">
        <v>557</v>
      </c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6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87"/>
      <c r="AA427" s="89"/>
      <c r="AB427" s="25"/>
      <c r="AC427" s="87"/>
      <c r="AD427" s="25"/>
      <c r="AE427" s="87"/>
      <c r="AF427" s="87"/>
      <c r="AH427" s="89"/>
      <c r="AI427" s="26"/>
      <c r="AJ427" s="89"/>
      <c r="AK427" s="26"/>
    </row>
    <row r="428" spans="1:37" ht="12.75">
      <c r="A428" s="28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6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87"/>
      <c r="AA428" s="89"/>
      <c r="AB428" s="25"/>
      <c r="AC428" s="87"/>
      <c r="AD428" s="25"/>
      <c r="AE428" s="87"/>
      <c r="AF428" s="87"/>
      <c r="AH428" s="89"/>
      <c r="AI428" s="26"/>
      <c r="AJ428" s="89"/>
      <c r="AK428" s="26"/>
    </row>
    <row r="429" spans="1:37" s="2" customFormat="1" ht="18">
      <c r="A429" s="69" t="s">
        <v>558</v>
      </c>
      <c r="B429" s="2" t="s">
        <v>559</v>
      </c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7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87"/>
      <c r="AA429" s="96"/>
      <c r="AB429" s="76"/>
      <c r="AC429" s="87"/>
      <c r="AD429" s="76"/>
      <c r="AE429" s="87"/>
      <c r="AF429" s="87"/>
      <c r="AG429" s="25"/>
      <c r="AH429" s="96"/>
      <c r="AI429" s="77"/>
      <c r="AJ429" s="96"/>
      <c r="AK429" s="77"/>
    </row>
    <row r="430" spans="1:37" ht="12.75" hidden="1">
      <c r="A430" s="70"/>
      <c r="B430" s="6"/>
      <c r="C430" s="6"/>
      <c r="D430" s="71"/>
      <c r="E430" s="71"/>
      <c r="F430" s="71"/>
      <c r="G430" s="71"/>
      <c r="H430" s="71"/>
      <c r="I430" s="71"/>
      <c r="J430" s="71"/>
      <c r="K430" s="71"/>
      <c r="L430" s="71"/>
      <c r="M430" s="7"/>
      <c r="N430" s="71"/>
      <c r="O430" s="72"/>
      <c r="P430" s="71"/>
      <c r="Q430" s="7"/>
      <c r="R430" s="7"/>
      <c r="S430" s="7"/>
      <c r="T430" s="71"/>
      <c r="U430" s="71"/>
      <c r="V430" s="71"/>
      <c r="W430" s="71"/>
      <c r="X430" s="71"/>
      <c r="Y430" s="25"/>
      <c r="Z430" s="87"/>
      <c r="AA430" s="89"/>
      <c r="AB430" s="25"/>
      <c r="AC430" s="87"/>
      <c r="AD430" s="25"/>
      <c r="AE430" s="87"/>
      <c r="AF430" s="87"/>
      <c r="AH430" s="89"/>
      <c r="AI430" s="26"/>
      <c r="AJ430" s="89"/>
      <c r="AK430" s="26"/>
    </row>
    <row r="431" spans="1:37" ht="12.75" hidden="1">
      <c r="A431" s="8" t="s">
        <v>7</v>
      </c>
      <c r="B431" s="9"/>
      <c r="C431" s="9" t="s">
        <v>8</v>
      </c>
      <c r="D431" s="9" t="s">
        <v>9</v>
      </c>
      <c r="E431" s="9" t="s">
        <v>10</v>
      </c>
      <c r="F431" s="9" t="s">
        <v>11</v>
      </c>
      <c r="G431" s="9" t="s">
        <v>9</v>
      </c>
      <c r="H431" s="9" t="s">
        <v>10</v>
      </c>
      <c r="I431" s="9" t="s">
        <v>11</v>
      </c>
      <c r="J431" s="9" t="s">
        <v>13</v>
      </c>
      <c r="K431" s="9" t="s">
        <v>14</v>
      </c>
      <c r="L431" s="9" t="s">
        <v>15</v>
      </c>
      <c r="M431" s="9" t="s">
        <v>16</v>
      </c>
      <c r="N431" s="9" t="s">
        <v>10</v>
      </c>
      <c r="O431" s="9" t="s">
        <v>17</v>
      </c>
      <c r="P431" s="9" t="s">
        <v>18</v>
      </c>
      <c r="Q431" s="9" t="s">
        <v>17</v>
      </c>
      <c r="R431" s="9" t="s">
        <v>17</v>
      </c>
      <c r="S431" s="9" t="s">
        <v>17</v>
      </c>
      <c r="T431" s="9" t="s">
        <v>19</v>
      </c>
      <c r="U431" s="9" t="s">
        <v>9</v>
      </c>
      <c r="V431" s="9" t="s">
        <v>16</v>
      </c>
      <c r="W431" s="9" t="s">
        <v>20</v>
      </c>
      <c r="X431" s="9" t="s">
        <v>21</v>
      </c>
      <c r="Y431" s="25"/>
      <c r="Z431" s="87"/>
      <c r="AA431" s="89"/>
      <c r="AB431" s="25"/>
      <c r="AC431" s="87"/>
      <c r="AD431" s="25"/>
      <c r="AE431" s="87"/>
      <c r="AF431" s="87"/>
      <c r="AH431" s="89"/>
      <c r="AI431" s="26"/>
      <c r="AJ431" s="89"/>
      <c r="AK431" s="26"/>
    </row>
    <row r="432" spans="1:37" ht="12.75" hidden="1">
      <c r="A432" s="8" t="s">
        <v>22</v>
      </c>
      <c r="B432" s="9"/>
      <c r="C432" s="9"/>
      <c r="D432" s="9">
        <v>1997</v>
      </c>
      <c r="E432" s="9">
        <v>1997</v>
      </c>
      <c r="F432" s="9" t="s">
        <v>23</v>
      </c>
      <c r="G432" s="9">
        <v>1998</v>
      </c>
      <c r="H432" s="9">
        <v>1998</v>
      </c>
      <c r="I432" s="9" t="s">
        <v>24</v>
      </c>
      <c r="J432" s="9" t="s">
        <v>25</v>
      </c>
      <c r="K432" s="9">
        <v>1999</v>
      </c>
      <c r="L432" s="9">
        <v>1999</v>
      </c>
      <c r="M432" s="9" t="s">
        <v>26</v>
      </c>
      <c r="N432" s="9">
        <v>1999</v>
      </c>
      <c r="O432" s="9" t="s">
        <v>23</v>
      </c>
      <c r="P432" s="9">
        <v>2000</v>
      </c>
      <c r="Q432" s="9" t="s">
        <v>27</v>
      </c>
      <c r="R432" s="9" t="s">
        <v>23</v>
      </c>
      <c r="S432" s="9" t="s">
        <v>23</v>
      </c>
      <c r="T432" s="9" t="s">
        <v>28</v>
      </c>
      <c r="U432" s="9">
        <v>2000</v>
      </c>
      <c r="V432" s="10" t="s">
        <v>29</v>
      </c>
      <c r="W432" s="10" t="s">
        <v>29</v>
      </c>
      <c r="X432" s="10" t="s">
        <v>29</v>
      </c>
      <c r="Y432" s="25"/>
      <c r="Z432" s="87"/>
      <c r="AA432" s="89"/>
      <c r="AB432" s="25"/>
      <c r="AC432" s="87"/>
      <c r="AD432" s="25"/>
      <c r="AE432" s="87"/>
      <c r="AF432" s="87"/>
      <c r="AH432" s="89"/>
      <c r="AI432" s="26"/>
      <c r="AJ432" s="89"/>
      <c r="AK432" s="26"/>
    </row>
    <row r="433" spans="1:37" ht="13.5" hidden="1" thickBot="1">
      <c r="A433" s="11">
        <v>1</v>
      </c>
      <c r="B433" s="11"/>
      <c r="C433" s="11">
        <v>2</v>
      </c>
      <c r="D433" s="11">
        <v>3</v>
      </c>
      <c r="E433" s="11">
        <v>3</v>
      </c>
      <c r="F433" s="11">
        <v>5</v>
      </c>
      <c r="G433" s="11">
        <v>4</v>
      </c>
      <c r="H433" s="11">
        <v>5</v>
      </c>
      <c r="I433" s="11">
        <v>6</v>
      </c>
      <c r="J433" s="11" t="s">
        <v>30</v>
      </c>
      <c r="K433" s="11">
        <v>3</v>
      </c>
      <c r="L433" s="11">
        <v>3</v>
      </c>
      <c r="M433" s="11">
        <v>5</v>
      </c>
      <c r="N433" s="11">
        <v>3</v>
      </c>
      <c r="O433" s="11">
        <v>5</v>
      </c>
      <c r="P433" s="11">
        <v>4</v>
      </c>
      <c r="Q433" s="11">
        <v>5</v>
      </c>
      <c r="R433" s="11">
        <v>6</v>
      </c>
      <c r="S433" s="11">
        <v>5</v>
      </c>
      <c r="T433" s="11">
        <v>5</v>
      </c>
      <c r="U433" s="11">
        <v>5</v>
      </c>
      <c r="V433" s="11">
        <v>6</v>
      </c>
      <c r="W433" s="11">
        <v>6</v>
      </c>
      <c r="X433" s="11">
        <v>7</v>
      </c>
      <c r="Y433" s="25"/>
      <c r="Z433" s="87"/>
      <c r="AA433" s="89"/>
      <c r="AB433" s="25"/>
      <c r="AC433" s="87"/>
      <c r="AD433" s="25"/>
      <c r="AE433" s="87"/>
      <c r="AF433" s="87"/>
      <c r="AH433" s="89"/>
      <c r="AI433" s="26"/>
      <c r="AJ433" s="89"/>
      <c r="AK433" s="26"/>
    </row>
    <row r="434" spans="1:37" ht="12.75">
      <c r="A434" s="28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6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87"/>
      <c r="AA434" s="89"/>
      <c r="AB434" s="25"/>
      <c r="AC434" s="87"/>
      <c r="AD434" s="25"/>
      <c r="AE434" s="87"/>
      <c r="AF434" s="87"/>
      <c r="AH434" s="89"/>
      <c r="AI434" s="26"/>
      <c r="AJ434" s="89"/>
      <c r="AK434" s="26"/>
    </row>
    <row r="435" spans="1:37" s="47" customFormat="1" ht="15.75">
      <c r="A435" s="78">
        <v>50</v>
      </c>
      <c r="B435" s="57" t="s">
        <v>560</v>
      </c>
      <c r="C435" s="58" t="s">
        <v>561</v>
      </c>
      <c r="D435" s="15">
        <f>D437</f>
        <v>0</v>
      </c>
      <c r="E435" s="15">
        <f>E437</f>
        <v>0</v>
      </c>
      <c r="F435" s="15"/>
      <c r="G435" s="15">
        <f>G437</f>
        <v>30000000</v>
      </c>
      <c r="H435" s="15">
        <f>H437</f>
        <v>0</v>
      </c>
      <c r="I435" s="15"/>
      <c r="J435" s="15">
        <f>J437</f>
        <v>0</v>
      </c>
      <c r="K435" s="15">
        <f>K437</f>
        <v>0</v>
      </c>
      <c r="L435" s="15">
        <f>L437</f>
        <v>0</v>
      </c>
      <c r="M435" s="15">
        <f>L435-K435</f>
        <v>0</v>
      </c>
      <c r="N435" s="15">
        <f>N437</f>
        <v>0</v>
      </c>
      <c r="O435" s="16"/>
      <c r="P435" s="15">
        <f>P437</f>
        <v>0</v>
      </c>
      <c r="Q435" s="15">
        <f aca="true" t="shared" si="142" ref="Q435:AG435">Q437</f>
        <v>0</v>
      </c>
      <c r="R435" s="15">
        <f t="shared" si="142"/>
        <v>0</v>
      </c>
      <c r="S435" s="15">
        <f t="shared" si="142"/>
        <v>0</v>
      </c>
      <c r="T435" s="15">
        <f t="shared" si="142"/>
        <v>0</v>
      </c>
      <c r="U435" s="15">
        <f t="shared" si="142"/>
        <v>0</v>
      </c>
      <c r="V435" s="15">
        <f t="shared" si="142"/>
        <v>0</v>
      </c>
      <c r="W435" s="15">
        <f t="shared" si="142"/>
        <v>0</v>
      </c>
      <c r="X435" s="15">
        <f t="shared" si="142"/>
        <v>0</v>
      </c>
      <c r="Y435" s="15">
        <f t="shared" si="142"/>
        <v>0</v>
      </c>
      <c r="Z435" s="15">
        <f t="shared" si="142"/>
        <v>0</v>
      </c>
      <c r="AA435" s="15">
        <f t="shared" si="142"/>
        <v>0</v>
      </c>
      <c r="AB435" s="15">
        <f t="shared" si="142"/>
        <v>0</v>
      </c>
      <c r="AC435" s="15">
        <f t="shared" si="142"/>
        <v>0</v>
      </c>
      <c r="AD435" s="15">
        <f t="shared" si="142"/>
        <v>0</v>
      </c>
      <c r="AE435" s="15">
        <f t="shared" si="142"/>
        <v>0</v>
      </c>
      <c r="AF435" s="91">
        <f>AF437</f>
        <v>0</v>
      </c>
      <c r="AG435" s="15">
        <f t="shared" si="142"/>
        <v>0</v>
      </c>
      <c r="AH435" s="91">
        <f>AH437</f>
        <v>0</v>
      </c>
      <c r="AI435" s="16"/>
      <c r="AJ435" s="91">
        <f>AJ437</f>
        <v>0</v>
      </c>
      <c r="AK435" s="16"/>
    </row>
    <row r="436" spans="1:37" ht="12.75">
      <c r="A436" s="28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6"/>
      <c r="P436" s="25"/>
      <c r="Q436" s="25"/>
      <c r="R436" s="25"/>
      <c r="S436" s="25"/>
      <c r="T436" s="25"/>
      <c r="U436" s="25"/>
      <c r="V436" s="25">
        <f>U436-P436</f>
        <v>0</v>
      </c>
      <c r="W436" s="25"/>
      <c r="X436" s="25"/>
      <c r="Y436" s="25"/>
      <c r="Z436" s="87"/>
      <c r="AA436" s="89"/>
      <c r="AB436" s="25"/>
      <c r="AC436" s="87"/>
      <c r="AD436" s="25"/>
      <c r="AE436" s="87"/>
      <c r="AF436" s="87"/>
      <c r="AH436" s="89"/>
      <c r="AI436" s="26"/>
      <c r="AJ436" s="89"/>
      <c r="AK436" s="26"/>
    </row>
    <row r="437" spans="1:37" s="31" customFormat="1" ht="12.75">
      <c r="A437" s="30">
        <v>500</v>
      </c>
      <c r="C437" s="31" t="s">
        <v>562</v>
      </c>
      <c r="D437" s="32">
        <f>D438</f>
        <v>0</v>
      </c>
      <c r="E437" s="32">
        <f>E438</f>
        <v>0</v>
      </c>
      <c r="F437" s="32"/>
      <c r="G437" s="32">
        <f>G438</f>
        <v>30000000</v>
      </c>
      <c r="H437" s="32">
        <f>H438</f>
        <v>0</v>
      </c>
      <c r="I437" s="32"/>
      <c r="J437" s="32">
        <f>J438</f>
        <v>0</v>
      </c>
      <c r="K437" s="32">
        <f>K438</f>
        <v>0</v>
      </c>
      <c r="L437" s="32">
        <f>L438</f>
        <v>0</v>
      </c>
      <c r="M437" s="32">
        <f>K437-J437</f>
        <v>0</v>
      </c>
      <c r="N437" s="32">
        <f>N438</f>
        <v>0</v>
      </c>
      <c r="O437" s="34"/>
      <c r="P437" s="32">
        <f>P438</f>
        <v>0</v>
      </c>
      <c r="Q437" s="32">
        <f aca="true" t="shared" si="143" ref="Q437:AJ437">Q438</f>
        <v>0</v>
      </c>
      <c r="R437" s="32">
        <f t="shared" si="143"/>
        <v>0</v>
      </c>
      <c r="S437" s="32">
        <f t="shared" si="143"/>
        <v>0</v>
      </c>
      <c r="T437" s="32">
        <f t="shared" si="143"/>
        <v>0</v>
      </c>
      <c r="U437" s="32">
        <f t="shared" si="143"/>
        <v>0</v>
      </c>
      <c r="V437" s="32">
        <f t="shared" si="143"/>
        <v>0</v>
      </c>
      <c r="W437" s="32">
        <f t="shared" si="143"/>
        <v>0</v>
      </c>
      <c r="X437" s="32">
        <f t="shared" si="143"/>
        <v>0</v>
      </c>
      <c r="Y437" s="32">
        <f t="shared" si="143"/>
        <v>0</v>
      </c>
      <c r="Z437" s="32">
        <f t="shared" si="143"/>
        <v>0</v>
      </c>
      <c r="AA437" s="32">
        <f t="shared" si="143"/>
        <v>0</v>
      </c>
      <c r="AB437" s="32">
        <f t="shared" si="143"/>
        <v>0</v>
      </c>
      <c r="AC437" s="32">
        <f t="shared" si="143"/>
        <v>0</v>
      </c>
      <c r="AD437" s="32">
        <f t="shared" si="143"/>
        <v>0</v>
      </c>
      <c r="AE437" s="32">
        <f t="shared" si="143"/>
        <v>0</v>
      </c>
      <c r="AF437" s="87">
        <f t="shared" si="143"/>
        <v>0</v>
      </c>
      <c r="AG437" s="32">
        <f t="shared" si="143"/>
        <v>0</v>
      </c>
      <c r="AH437" s="87">
        <f t="shared" si="143"/>
        <v>0</v>
      </c>
      <c r="AI437" s="34"/>
      <c r="AJ437" s="87">
        <f t="shared" si="143"/>
        <v>0</v>
      </c>
      <c r="AK437" s="34"/>
    </row>
    <row r="438" spans="1:37" s="36" customFormat="1" ht="11.25">
      <c r="A438" s="8">
        <v>5001</v>
      </c>
      <c r="C438" s="36" t="s">
        <v>563</v>
      </c>
      <c r="D438" s="37"/>
      <c r="E438" s="37"/>
      <c r="F438" s="37"/>
      <c r="G438" s="37">
        <v>30000000</v>
      </c>
      <c r="H438" s="37"/>
      <c r="I438" s="37"/>
      <c r="J438" s="37"/>
      <c r="K438" s="37"/>
      <c r="L438" s="37"/>
      <c r="M438" s="37"/>
      <c r="N438" s="37"/>
      <c r="O438" s="39"/>
      <c r="P438" s="37"/>
      <c r="Q438" s="37"/>
      <c r="R438" s="37"/>
      <c r="S438" s="37"/>
      <c r="T438" s="37"/>
      <c r="U438" s="37"/>
      <c r="V438" s="37">
        <f>U438-P438</f>
        <v>0</v>
      </c>
      <c r="W438" s="37"/>
      <c r="X438" s="37"/>
      <c r="Y438" s="37"/>
      <c r="Z438" s="102"/>
      <c r="AA438" s="88"/>
      <c r="AB438" s="37"/>
      <c r="AC438" s="102"/>
      <c r="AD438" s="37"/>
      <c r="AE438" s="102"/>
      <c r="AF438" s="102"/>
      <c r="AG438" s="37"/>
      <c r="AH438" s="88"/>
      <c r="AI438" s="39"/>
      <c r="AJ438" s="88"/>
      <c r="AK438" s="39"/>
    </row>
    <row r="439" spans="1:37" ht="12.75">
      <c r="A439" s="28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6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87"/>
      <c r="AA439" s="89"/>
      <c r="AB439" s="25"/>
      <c r="AC439" s="87"/>
      <c r="AD439" s="25"/>
      <c r="AE439" s="87"/>
      <c r="AF439" s="87"/>
      <c r="AH439" s="89"/>
      <c r="AI439" s="26"/>
      <c r="AJ439" s="89"/>
      <c r="AK439" s="26"/>
    </row>
    <row r="440" spans="1:37" s="47" customFormat="1" ht="15.75">
      <c r="A440" s="46">
        <v>55</v>
      </c>
      <c r="B440" s="57" t="s">
        <v>564</v>
      </c>
      <c r="C440" s="58" t="s">
        <v>565</v>
      </c>
      <c r="D440" s="15">
        <f>D442</f>
        <v>171600000</v>
      </c>
      <c r="E440" s="15">
        <f>E442</f>
        <v>160919768</v>
      </c>
      <c r="F440" s="16">
        <f>E440/D440*100</f>
        <v>93.77608857808858</v>
      </c>
      <c r="G440" s="15">
        <f>G442</f>
        <v>204250000</v>
      </c>
      <c r="H440" s="15">
        <f>H442</f>
        <v>203326154</v>
      </c>
      <c r="I440" s="16">
        <f>H440/G440*100</f>
        <v>99.54768861689107</v>
      </c>
      <c r="J440" s="15">
        <f>J442</f>
        <v>13500000</v>
      </c>
      <c r="K440" s="15">
        <f>K442</f>
        <v>13500000</v>
      </c>
      <c r="L440" s="15">
        <f>L442</f>
        <v>13500000</v>
      </c>
      <c r="M440" s="15">
        <f>L440-K440</f>
        <v>0</v>
      </c>
      <c r="N440" s="15">
        <f>N442</f>
        <v>13090282.75</v>
      </c>
      <c r="O440" s="16">
        <f>N440/L440*100</f>
        <v>96.9650574074074</v>
      </c>
      <c r="P440" s="15">
        <f>P442</f>
        <v>83780000</v>
      </c>
      <c r="Q440" s="15">
        <f aca="true" t="shared" si="144" ref="Q440:AH440">Q442</f>
        <v>0</v>
      </c>
      <c r="R440" s="15" t="e">
        <f t="shared" si="144"/>
        <v>#DIV/0!</v>
      </c>
      <c r="S440" s="15">
        <f t="shared" si="144"/>
        <v>85.55964919856297</v>
      </c>
      <c r="T440" s="15">
        <f t="shared" si="144"/>
        <v>83780000</v>
      </c>
      <c r="U440" s="15">
        <f t="shared" si="144"/>
        <v>11200000</v>
      </c>
      <c r="V440" s="15">
        <f t="shared" si="144"/>
        <v>-72580000</v>
      </c>
      <c r="W440" s="15">
        <f t="shared" si="144"/>
        <v>0</v>
      </c>
      <c r="X440" s="15">
        <f t="shared" si="144"/>
        <v>-72580000</v>
      </c>
      <c r="Y440" s="15">
        <f t="shared" si="144"/>
        <v>510975.61</v>
      </c>
      <c r="Z440" s="15">
        <f t="shared" si="144"/>
        <v>4.5622822321428576</v>
      </c>
      <c r="AA440" s="15">
        <f t="shared" si="144"/>
        <v>0</v>
      </c>
      <c r="AB440" s="15">
        <f t="shared" si="144"/>
        <v>1774542.33</v>
      </c>
      <c r="AC440" s="15">
        <f t="shared" si="144"/>
        <v>15.844127946428571</v>
      </c>
      <c r="AD440" s="15">
        <f t="shared" si="144"/>
        <v>3336766.7700000005</v>
      </c>
      <c r="AE440" s="15">
        <f t="shared" si="144"/>
        <v>29.792560446428574</v>
      </c>
      <c r="AF440" s="91">
        <f>AF442</f>
        <v>6625333</v>
      </c>
      <c r="AG440" s="15">
        <f t="shared" si="144"/>
        <v>11200000</v>
      </c>
      <c r="AH440" s="91">
        <f t="shared" si="144"/>
        <v>3346154.13</v>
      </c>
      <c r="AI440" s="16">
        <f>+AH440/AG440*100</f>
        <v>29.876376160714287</v>
      </c>
      <c r="AJ440" s="91">
        <f>AJ442</f>
        <v>6978201.82</v>
      </c>
      <c r="AK440" s="16">
        <f>+AJ440/AG440*100</f>
        <v>62.30537339285714</v>
      </c>
    </row>
    <row r="441" spans="1:37" ht="12.75">
      <c r="A441" s="28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6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87"/>
      <c r="AA441" s="89"/>
      <c r="AB441" s="25"/>
      <c r="AC441" s="87"/>
      <c r="AD441" s="25"/>
      <c r="AE441" s="87"/>
      <c r="AF441" s="87"/>
      <c r="AH441" s="89"/>
      <c r="AI441" s="26"/>
      <c r="AJ441" s="89"/>
      <c r="AK441" s="26"/>
    </row>
    <row r="442" spans="1:37" s="31" customFormat="1" ht="12.75">
      <c r="A442" s="30">
        <v>550</v>
      </c>
      <c r="C442" s="31" t="s">
        <v>566</v>
      </c>
      <c r="D442" s="32">
        <f>D443</f>
        <v>171600000</v>
      </c>
      <c r="E442" s="32">
        <f>E443</f>
        <v>160919768</v>
      </c>
      <c r="F442" s="22">
        <f>E442/D442*100</f>
        <v>93.77608857808858</v>
      </c>
      <c r="G442" s="32">
        <f>G443</f>
        <v>204250000</v>
      </c>
      <c r="H442" s="32">
        <f>H443</f>
        <v>203326154</v>
      </c>
      <c r="I442" s="22">
        <f>H442/G442*100</f>
        <v>99.54768861689107</v>
      </c>
      <c r="J442" s="32">
        <f>J443</f>
        <v>13500000</v>
      </c>
      <c r="K442" s="32">
        <f>K443</f>
        <v>13500000</v>
      </c>
      <c r="L442" s="32">
        <f>SUM(L443:L444)</f>
        <v>13500000</v>
      </c>
      <c r="M442" s="32">
        <f>SUM(M443:M444)</f>
        <v>0</v>
      </c>
      <c r="N442" s="32">
        <f>SUM(N443:N444)</f>
        <v>13090282.75</v>
      </c>
      <c r="O442" s="34">
        <f>N442/L442*100</f>
        <v>96.9650574074074</v>
      </c>
      <c r="P442" s="32">
        <f>SUM(P443:P444)</f>
        <v>83780000</v>
      </c>
      <c r="Q442" s="32">
        <f aca="true" t="shared" si="145" ref="Q442:AH442">SUM(Q443:Q444)</f>
        <v>0</v>
      </c>
      <c r="R442" s="32" t="e">
        <f t="shared" si="145"/>
        <v>#DIV/0!</v>
      </c>
      <c r="S442" s="32">
        <f t="shared" si="145"/>
        <v>85.55964919856297</v>
      </c>
      <c r="T442" s="32">
        <f t="shared" si="145"/>
        <v>83780000</v>
      </c>
      <c r="U442" s="32">
        <f t="shared" si="145"/>
        <v>11200000</v>
      </c>
      <c r="V442" s="32">
        <f t="shared" si="145"/>
        <v>-72580000</v>
      </c>
      <c r="W442" s="32">
        <f t="shared" si="145"/>
        <v>0</v>
      </c>
      <c r="X442" s="32">
        <f t="shared" si="145"/>
        <v>-72580000</v>
      </c>
      <c r="Y442" s="32">
        <f t="shared" si="145"/>
        <v>510975.61</v>
      </c>
      <c r="Z442" s="32">
        <f t="shared" si="145"/>
        <v>4.5622822321428576</v>
      </c>
      <c r="AA442" s="32">
        <f t="shared" si="145"/>
        <v>0</v>
      </c>
      <c r="AB442" s="32">
        <f t="shared" si="145"/>
        <v>1774542.33</v>
      </c>
      <c r="AC442" s="32">
        <f t="shared" si="145"/>
        <v>15.844127946428571</v>
      </c>
      <c r="AD442" s="32">
        <f t="shared" si="145"/>
        <v>3336766.7700000005</v>
      </c>
      <c r="AE442" s="32">
        <f t="shared" si="145"/>
        <v>29.792560446428574</v>
      </c>
      <c r="AF442" s="87">
        <f>SUM(AF443:AF444)</f>
        <v>6625333</v>
      </c>
      <c r="AG442" s="32">
        <f t="shared" si="145"/>
        <v>11200000</v>
      </c>
      <c r="AH442" s="87">
        <f t="shared" si="145"/>
        <v>3346154.13</v>
      </c>
      <c r="AI442" s="34">
        <f>+AH442/AG442*100</f>
        <v>29.876376160714287</v>
      </c>
      <c r="AJ442" s="87">
        <f>SUM(AJ443:AJ444)</f>
        <v>6978201.82</v>
      </c>
      <c r="AK442" s="34">
        <f>+AJ442/AG442*100</f>
        <v>62.30537339285714</v>
      </c>
    </row>
    <row r="443" spans="1:37" s="36" customFormat="1" ht="11.25">
      <c r="A443" s="103">
        <v>5501</v>
      </c>
      <c r="C443" s="36" t="s">
        <v>567</v>
      </c>
      <c r="D443" s="37">
        <v>171600000</v>
      </c>
      <c r="E443" s="37">
        <v>160919768</v>
      </c>
      <c r="F443" s="39">
        <f>E443/D443*100</f>
        <v>93.77608857808858</v>
      </c>
      <c r="G443" s="37">
        <v>204250000</v>
      </c>
      <c r="H443" s="37">
        <v>203326154</v>
      </c>
      <c r="I443" s="39">
        <f>H443/G443*100</f>
        <v>99.54768861689107</v>
      </c>
      <c r="J443" s="37">
        <v>13500000</v>
      </c>
      <c r="K443" s="37">
        <v>13500000</v>
      </c>
      <c r="L443" s="37">
        <v>13500000</v>
      </c>
      <c r="M443" s="37">
        <f>L443-K443</f>
        <v>0</v>
      </c>
      <c r="N443" s="37">
        <v>13090282.75</v>
      </c>
      <c r="O443" s="39">
        <f>N443/L443*100</f>
        <v>96.9650574074074</v>
      </c>
      <c r="P443" s="37">
        <v>11200000</v>
      </c>
      <c r="Q443" s="39"/>
      <c r="R443" s="39">
        <f>P443/L443*100</f>
        <v>82.96296296296296</v>
      </c>
      <c r="S443" s="39">
        <f>P443/N443*100</f>
        <v>85.55964919856297</v>
      </c>
      <c r="T443" s="37">
        <v>11200000</v>
      </c>
      <c r="U443" s="37">
        <v>11200000</v>
      </c>
      <c r="V443" s="37"/>
      <c r="W443" s="37"/>
      <c r="X443" s="104"/>
      <c r="Y443" s="37">
        <v>510975.61</v>
      </c>
      <c r="Z443" s="88">
        <f>+Y443/P443*100</f>
        <v>4.5622822321428576</v>
      </c>
      <c r="AA443" s="88"/>
      <c r="AB443" s="37">
        <f>748503.3+1026039.03</f>
        <v>1774542.33</v>
      </c>
      <c r="AC443" s="88">
        <f>+AB443/P443*100</f>
        <v>15.844127946428571</v>
      </c>
      <c r="AD443" s="37">
        <f>748503.3+2588263.47</f>
        <v>3336766.7700000005</v>
      </c>
      <c r="AE443" s="88">
        <f>AD443/P443*100</f>
        <v>29.792560446428574</v>
      </c>
      <c r="AF443" s="88">
        <v>6625333</v>
      </c>
      <c r="AG443" s="37">
        <v>11200000</v>
      </c>
      <c r="AH443" s="88">
        <v>3346154.13</v>
      </c>
      <c r="AI443" s="39">
        <f>+AH443/AG443*100</f>
        <v>29.876376160714287</v>
      </c>
      <c r="AJ443" s="88">
        <v>6978201.82</v>
      </c>
      <c r="AK443" s="39">
        <f>+AJ443/AG443*100</f>
        <v>62.30537339285714</v>
      </c>
    </row>
    <row r="444" spans="1:37" s="36" customFormat="1" ht="12.75" hidden="1">
      <c r="A444" s="103">
        <v>5503</v>
      </c>
      <c r="C444" s="36" t="s">
        <v>568</v>
      </c>
      <c r="D444" s="37"/>
      <c r="E444" s="37"/>
      <c r="F444" s="39"/>
      <c r="G444" s="37"/>
      <c r="H444" s="37"/>
      <c r="I444" s="39"/>
      <c r="J444" s="37"/>
      <c r="K444" s="37"/>
      <c r="L444" s="37"/>
      <c r="M444" s="37"/>
      <c r="N444" s="37"/>
      <c r="O444" s="39"/>
      <c r="P444" s="37">
        <v>72580000</v>
      </c>
      <c r="Q444" s="39"/>
      <c r="R444" s="39" t="e">
        <f>P444/L444*100</f>
        <v>#DIV/0!</v>
      </c>
      <c r="S444" s="39"/>
      <c r="T444" s="37">
        <v>72580000</v>
      </c>
      <c r="U444" s="37"/>
      <c r="V444" s="37">
        <f>U444-P444</f>
        <v>-72580000</v>
      </c>
      <c r="W444" s="37"/>
      <c r="X444" s="37">
        <f>U444-P444</f>
        <v>-72580000</v>
      </c>
      <c r="Y444" s="37">
        <v>0</v>
      </c>
      <c r="Z444" s="88">
        <f>+Y444/P444*100</f>
        <v>0</v>
      </c>
      <c r="AA444" s="88"/>
      <c r="AB444" s="37">
        <v>0</v>
      </c>
      <c r="AC444" s="88">
        <f>+AB444/P444*100</f>
        <v>0</v>
      </c>
      <c r="AD444" s="37">
        <v>0</v>
      </c>
      <c r="AE444" s="88">
        <f>AD444/P444*100</f>
        <v>0</v>
      </c>
      <c r="AF444" s="88"/>
      <c r="AG444" s="25"/>
      <c r="AH444" s="88"/>
      <c r="AI444" s="39"/>
      <c r="AJ444" s="88"/>
      <c r="AK444" s="39" t="e">
        <f>+AJ444/AG444*100</f>
        <v>#DIV/0!</v>
      </c>
    </row>
    <row r="445" spans="1:37" ht="12.75">
      <c r="A445" s="79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6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87"/>
      <c r="AA445" s="89"/>
      <c r="AB445" s="25"/>
      <c r="AC445" s="87"/>
      <c r="AD445" s="25"/>
      <c r="AE445" s="87"/>
      <c r="AF445" s="87"/>
      <c r="AH445" s="89"/>
      <c r="AI445" s="26"/>
      <c r="AJ445" s="89"/>
      <c r="AK445" s="26"/>
    </row>
    <row r="446" spans="1:37" s="47" customFormat="1" ht="15.75">
      <c r="A446" s="80"/>
      <c r="B446" s="57" t="s">
        <v>569</v>
      </c>
      <c r="C446" s="58" t="s">
        <v>570</v>
      </c>
      <c r="D446" s="15">
        <f>D435-D440</f>
        <v>-171600000</v>
      </c>
      <c r="E446" s="15">
        <f>E435-E440</f>
        <v>-160919768</v>
      </c>
      <c r="F446" s="16">
        <f>E446/D446*100</f>
        <v>93.77608857808858</v>
      </c>
      <c r="G446" s="15">
        <f>G435-G440</f>
        <v>-174250000</v>
      </c>
      <c r="H446" s="15">
        <f>H435-H440</f>
        <v>-203326154</v>
      </c>
      <c r="I446" s="16">
        <f>H446/G446*100</f>
        <v>116.68645853658536</v>
      </c>
      <c r="J446" s="15">
        <f>J435-J440</f>
        <v>-13500000</v>
      </c>
      <c r="K446" s="15">
        <f>K435-K440</f>
        <v>-13500000</v>
      </c>
      <c r="L446" s="15">
        <f>L435-L440</f>
        <v>-13500000</v>
      </c>
      <c r="M446" s="15">
        <f>L446-K446</f>
        <v>0</v>
      </c>
      <c r="N446" s="15">
        <f>N435-N440</f>
        <v>-13090282.75</v>
      </c>
      <c r="O446" s="16">
        <f>N446/L446*100</f>
        <v>96.9650574074074</v>
      </c>
      <c r="P446" s="15">
        <f>P435-P440</f>
        <v>-83780000</v>
      </c>
      <c r="Q446" s="15">
        <f aca="true" t="shared" si="146" ref="Q446:AH446">Q435-Q440</f>
        <v>0</v>
      </c>
      <c r="R446" s="15" t="e">
        <f t="shared" si="146"/>
        <v>#DIV/0!</v>
      </c>
      <c r="S446" s="15">
        <f t="shared" si="146"/>
        <v>-85.55964919856297</v>
      </c>
      <c r="T446" s="15">
        <f t="shared" si="146"/>
        <v>-83780000</v>
      </c>
      <c r="U446" s="15">
        <f t="shared" si="146"/>
        <v>-11200000</v>
      </c>
      <c r="V446" s="15">
        <f t="shared" si="146"/>
        <v>72580000</v>
      </c>
      <c r="W446" s="15">
        <f t="shared" si="146"/>
        <v>0</v>
      </c>
      <c r="X446" s="15">
        <f t="shared" si="146"/>
        <v>72580000</v>
      </c>
      <c r="Y446" s="15">
        <f t="shared" si="146"/>
        <v>-510975.61</v>
      </c>
      <c r="Z446" s="15">
        <f t="shared" si="146"/>
        <v>-4.5622822321428576</v>
      </c>
      <c r="AA446" s="15">
        <f t="shared" si="146"/>
        <v>0</v>
      </c>
      <c r="AB446" s="15">
        <f t="shared" si="146"/>
        <v>-1774542.33</v>
      </c>
      <c r="AC446" s="15">
        <f t="shared" si="146"/>
        <v>-15.844127946428571</v>
      </c>
      <c r="AD446" s="15">
        <f t="shared" si="146"/>
        <v>-3336766.7700000005</v>
      </c>
      <c r="AE446" s="15">
        <f t="shared" si="146"/>
        <v>-29.792560446428574</v>
      </c>
      <c r="AF446" s="91">
        <f>AF435-AF440</f>
        <v>-6625333</v>
      </c>
      <c r="AG446" s="15">
        <f t="shared" si="146"/>
        <v>-11200000</v>
      </c>
      <c r="AH446" s="91">
        <f t="shared" si="146"/>
        <v>-3346154.13</v>
      </c>
      <c r="AI446" s="16">
        <f>+AH446/AG446*100</f>
        <v>29.876376160714287</v>
      </c>
      <c r="AJ446" s="91">
        <f>AJ435-AJ440</f>
        <v>-6978201.82</v>
      </c>
      <c r="AK446" s="16">
        <f>+AJ446/AG446*100</f>
        <v>62.30537339285714</v>
      </c>
    </row>
    <row r="447" spans="1:37" ht="15.75">
      <c r="A447" s="79"/>
      <c r="B447" s="9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6"/>
      <c r="P447" s="25"/>
      <c r="Q447" s="25"/>
      <c r="R447" s="25"/>
      <c r="S447" s="25"/>
      <c r="T447" s="25"/>
      <c r="U447" s="25"/>
      <c r="V447" s="25"/>
      <c r="W447" s="25"/>
      <c r="X447" s="55"/>
      <c r="Y447" s="25"/>
      <c r="Z447" s="87"/>
      <c r="AA447" s="89"/>
      <c r="AB447" s="25"/>
      <c r="AC447" s="87"/>
      <c r="AD447" s="25"/>
      <c r="AE447" s="87"/>
      <c r="AF447" s="87"/>
      <c r="AH447" s="89"/>
      <c r="AI447" s="26"/>
      <c r="AJ447" s="89"/>
      <c r="AK447" s="26"/>
    </row>
    <row r="448" spans="2:37" s="47" customFormat="1" ht="15.75">
      <c r="B448" s="57" t="s">
        <v>571</v>
      </c>
      <c r="C448" s="65" t="s">
        <v>572</v>
      </c>
      <c r="D448" s="15">
        <f>D424+D446</f>
        <v>-2440198000</v>
      </c>
      <c r="E448" s="15">
        <f>E424+E446</f>
        <v>-982882537</v>
      </c>
      <c r="F448" s="16"/>
      <c r="G448" s="15">
        <f>G424+G446</f>
        <v>-2502564000</v>
      </c>
      <c r="H448" s="15">
        <f>H424+H446</f>
        <v>1450516248.6099987</v>
      </c>
      <c r="I448" s="16"/>
      <c r="J448" s="15" t="e">
        <f>J424+J446</f>
        <v>#REF!</v>
      </c>
      <c r="K448" s="15">
        <f>K424+K446</f>
        <v>-2634376066</v>
      </c>
      <c r="L448" s="15">
        <f>L424+L446</f>
        <v>-2526576066</v>
      </c>
      <c r="M448" s="15">
        <f>K448-L448</f>
        <v>-107800000</v>
      </c>
      <c r="N448" s="15">
        <f>N424+N446</f>
        <v>276552058.55999947</v>
      </c>
      <c r="O448" s="16">
        <f>N448/L448*100</f>
        <v>-10.945724622406814</v>
      </c>
      <c r="P448" s="15">
        <f aca="true" t="shared" si="147" ref="P448:AH448">P424+P446</f>
        <v>-2468810000</v>
      </c>
      <c r="Q448" s="15">
        <f t="shared" si="147"/>
        <v>99.89158586529999</v>
      </c>
      <c r="R448" s="15" t="e">
        <f t="shared" si="147"/>
        <v>#DIV/0!</v>
      </c>
      <c r="S448" s="15">
        <f t="shared" si="147"/>
        <v>-7345.3088160763255</v>
      </c>
      <c r="T448" s="15">
        <f t="shared" si="147"/>
        <v>-2468810000</v>
      </c>
      <c r="U448" s="15">
        <f t="shared" si="147"/>
        <v>-1853207300</v>
      </c>
      <c r="V448" s="15">
        <f t="shared" si="147"/>
        <v>615602700</v>
      </c>
      <c r="W448" s="15">
        <f t="shared" si="147"/>
        <v>662030200</v>
      </c>
      <c r="X448" s="15">
        <f t="shared" si="147"/>
        <v>-46427500</v>
      </c>
      <c r="Y448" s="15">
        <f t="shared" si="147"/>
        <v>-33466264.0899999</v>
      </c>
      <c r="Z448" s="15">
        <f t="shared" si="147"/>
        <v>-247.869729951394</v>
      </c>
      <c r="AA448" s="15">
        <f t="shared" si="147"/>
        <v>600000</v>
      </c>
      <c r="AB448" s="15">
        <f t="shared" si="147"/>
        <v>-93328084.40000017</v>
      </c>
      <c r="AC448" s="15" t="e">
        <f t="shared" si="147"/>
        <v>#DIV/0!</v>
      </c>
      <c r="AD448" s="15">
        <f t="shared" si="147"/>
        <v>119264727.47999905</v>
      </c>
      <c r="AE448" s="15" t="e">
        <f t="shared" si="147"/>
        <v>#DIV/0!</v>
      </c>
      <c r="AF448" s="91">
        <f>AF424+AF446</f>
        <v>2696488596.002859</v>
      </c>
      <c r="AG448" s="15">
        <f t="shared" si="147"/>
        <v>-2807628125</v>
      </c>
      <c r="AH448" s="91">
        <f t="shared" si="147"/>
        <v>-25539708.70999897</v>
      </c>
      <c r="AI448" s="16">
        <f>+AH448/AG448*100</f>
        <v>0.9096542552265169</v>
      </c>
      <c r="AJ448" s="91">
        <f>AJ424+AJ446</f>
        <v>-51124075.06999905</v>
      </c>
      <c r="AK448" s="16">
        <f>+AJ448/AG448*100</f>
        <v>1.8208990932514983</v>
      </c>
    </row>
    <row r="449" spans="3:37" s="47" customFormat="1" ht="15.75">
      <c r="C449" s="75" t="s">
        <v>573</v>
      </c>
      <c r="D449" s="81"/>
      <c r="E449" s="81"/>
      <c r="F449" s="15"/>
      <c r="G449" s="15"/>
      <c r="H449" s="15"/>
      <c r="I449" s="15"/>
      <c r="J449" s="15"/>
      <c r="K449" s="15"/>
      <c r="L449" s="15"/>
      <c r="M449" s="15"/>
      <c r="N449" s="15"/>
      <c r="O449" s="16"/>
      <c r="P449" s="15"/>
      <c r="Q449" s="15"/>
      <c r="R449" s="15"/>
      <c r="S449" s="15"/>
      <c r="T449" s="15"/>
      <c r="U449" s="15"/>
      <c r="V449" s="15"/>
      <c r="W449" s="15"/>
      <c r="X449" s="55"/>
      <c r="Y449" s="15"/>
      <c r="Z449" s="87"/>
      <c r="AA449" s="91"/>
      <c r="AB449" s="15"/>
      <c r="AC449" s="87"/>
      <c r="AD449" s="15"/>
      <c r="AE449" s="87"/>
      <c r="AF449" s="87"/>
      <c r="AG449" s="25"/>
      <c r="AH449" s="91"/>
      <c r="AI449" s="16"/>
      <c r="AJ449" s="91"/>
      <c r="AK449" s="16"/>
    </row>
    <row r="450" spans="1:37" ht="12" customHeight="1">
      <c r="A450" s="68"/>
      <c r="C450" s="82" t="s">
        <v>574</v>
      </c>
      <c r="F450" s="25"/>
      <c r="G450" s="25"/>
      <c r="H450" s="25"/>
      <c r="I450" s="25"/>
      <c r="J450" s="25"/>
      <c r="K450" s="25"/>
      <c r="L450" s="25"/>
      <c r="M450" s="25"/>
      <c r="N450" s="25"/>
      <c r="O450" s="26"/>
      <c r="P450" s="25"/>
      <c r="Q450" s="25"/>
      <c r="R450" s="25"/>
      <c r="S450" s="25"/>
      <c r="T450" s="25"/>
      <c r="U450" s="25"/>
      <c r="V450" s="25"/>
      <c r="W450" s="25"/>
      <c r="X450" s="55"/>
      <c r="Y450" s="25"/>
      <c r="Z450" s="87"/>
      <c r="AA450" s="89"/>
      <c r="AB450" s="25"/>
      <c r="AC450" s="87"/>
      <c r="AD450" s="25"/>
      <c r="AE450" s="87"/>
      <c r="AF450" s="87"/>
      <c r="AH450" s="89"/>
      <c r="AI450" s="16"/>
      <c r="AJ450" s="89"/>
      <c r="AK450" s="16"/>
    </row>
    <row r="451" spans="1:37" s="24" customFormat="1" ht="15.75">
      <c r="A451" s="17"/>
      <c r="B451" s="13" t="s">
        <v>575</v>
      </c>
      <c r="C451" s="83" t="s">
        <v>576</v>
      </c>
      <c r="F451" s="55"/>
      <c r="G451" s="55"/>
      <c r="H451" s="55"/>
      <c r="I451" s="55"/>
      <c r="J451" s="55"/>
      <c r="K451" s="55"/>
      <c r="L451" s="55">
        <v>2531076066</v>
      </c>
      <c r="M451" s="55"/>
      <c r="N451" s="55">
        <v>2531076066</v>
      </c>
      <c r="O451" s="56"/>
      <c r="P451" s="55">
        <v>2468810000</v>
      </c>
      <c r="Q451" s="55">
        <v>2468810000</v>
      </c>
      <c r="R451" s="55">
        <v>2468810000</v>
      </c>
      <c r="S451" s="55">
        <v>2468810000</v>
      </c>
      <c r="T451" s="55">
        <v>2468810000</v>
      </c>
      <c r="U451" s="55">
        <v>2468810000</v>
      </c>
      <c r="V451" s="55">
        <v>2468810000</v>
      </c>
      <c r="W451" s="55">
        <v>2468810000</v>
      </c>
      <c r="X451" s="55">
        <v>2468810000</v>
      </c>
      <c r="Y451" s="55">
        <v>2468810000</v>
      </c>
      <c r="Z451" s="55">
        <v>2468810000</v>
      </c>
      <c r="AA451" s="55">
        <v>2468810000</v>
      </c>
      <c r="AB451" s="55">
        <v>2468810000</v>
      </c>
      <c r="AC451" s="55">
        <v>2468810000</v>
      </c>
      <c r="AD451" s="55">
        <v>2468810000</v>
      </c>
      <c r="AE451" s="55">
        <v>2468810000</v>
      </c>
      <c r="AF451" s="93"/>
      <c r="AG451" s="55">
        <v>2807628125</v>
      </c>
      <c r="AH451" s="93">
        <v>2807628125</v>
      </c>
      <c r="AI451" s="16">
        <f>+AH451/AG451*100</f>
        <v>100</v>
      </c>
      <c r="AJ451" s="93">
        <v>2468810000</v>
      </c>
      <c r="AK451" s="16">
        <f>+AJ451/AG451*100</f>
        <v>87.93222927270683</v>
      </c>
    </row>
    <row r="452" spans="1:37" s="12" customFormat="1" ht="15.75">
      <c r="A452" s="84"/>
      <c r="B452" s="24"/>
      <c r="C452" s="85" t="s">
        <v>591</v>
      </c>
      <c r="F452" s="18"/>
      <c r="G452" s="18"/>
      <c r="H452" s="18"/>
      <c r="I452" s="18"/>
      <c r="J452" s="18"/>
      <c r="K452" s="18"/>
      <c r="L452" s="18"/>
      <c r="M452" s="18"/>
      <c r="N452" s="18"/>
      <c r="O452" s="19"/>
      <c r="P452" s="18"/>
      <c r="Q452" s="18"/>
      <c r="R452" s="18"/>
      <c r="S452" s="18"/>
      <c r="T452" s="18"/>
      <c r="U452" s="18"/>
      <c r="V452" s="18"/>
      <c r="W452" s="18"/>
      <c r="X452" s="55"/>
      <c r="Y452" s="18"/>
      <c r="Z452" s="93"/>
      <c r="AA452" s="97"/>
      <c r="AB452" s="18"/>
      <c r="AC452" s="93"/>
      <c r="AD452" s="18"/>
      <c r="AE452" s="93"/>
      <c r="AF452" s="93"/>
      <c r="AG452" s="25"/>
      <c r="AH452" s="97"/>
      <c r="AI452" s="19"/>
      <c r="AJ452" s="97"/>
      <c r="AK452" s="19"/>
    </row>
    <row r="453" spans="1:37" s="12" customFormat="1" ht="15.75">
      <c r="A453" s="84"/>
      <c r="B453" s="13" t="s">
        <v>577</v>
      </c>
      <c r="C453" s="83" t="s">
        <v>576</v>
      </c>
      <c r="F453" s="18"/>
      <c r="G453" s="18"/>
      <c r="H453" s="18"/>
      <c r="I453" s="18"/>
      <c r="J453" s="18"/>
      <c r="K453" s="18"/>
      <c r="L453" s="55">
        <f>L448+L451</f>
        <v>4500000</v>
      </c>
      <c r="M453" s="55">
        <f>M448+M451</f>
        <v>-107800000</v>
      </c>
      <c r="N453" s="55">
        <f>N448+N451</f>
        <v>2807628124.5599995</v>
      </c>
      <c r="O453" s="19"/>
      <c r="P453" s="55">
        <f aca="true" t="shared" si="148" ref="P453:AH453">P448+P451</f>
        <v>0</v>
      </c>
      <c r="Q453" s="55">
        <f t="shared" si="148"/>
        <v>2468810099.891586</v>
      </c>
      <c r="R453" s="55" t="e">
        <f t="shared" si="148"/>
        <v>#DIV/0!</v>
      </c>
      <c r="S453" s="55">
        <f t="shared" si="148"/>
        <v>2468802654.691184</v>
      </c>
      <c r="T453" s="55">
        <f t="shared" si="148"/>
        <v>0</v>
      </c>
      <c r="U453" s="55">
        <f t="shared" si="148"/>
        <v>615602700</v>
      </c>
      <c r="V453" s="55">
        <f t="shared" si="148"/>
        <v>3084412700</v>
      </c>
      <c r="W453" s="55">
        <f t="shared" si="148"/>
        <v>3130840200</v>
      </c>
      <c r="X453" s="55">
        <f t="shared" si="148"/>
        <v>2422382500</v>
      </c>
      <c r="Y453" s="55">
        <f t="shared" si="148"/>
        <v>2435343735.9100003</v>
      </c>
      <c r="Z453" s="55">
        <f t="shared" si="148"/>
        <v>2468809752.13027</v>
      </c>
      <c r="AA453" s="55">
        <f t="shared" si="148"/>
        <v>2469410000</v>
      </c>
      <c r="AB453" s="55">
        <f t="shared" si="148"/>
        <v>2375481915.6</v>
      </c>
      <c r="AC453" s="55" t="e">
        <f t="shared" si="148"/>
        <v>#DIV/0!</v>
      </c>
      <c r="AD453" s="55">
        <f t="shared" si="148"/>
        <v>2588074727.479999</v>
      </c>
      <c r="AE453" s="55" t="e">
        <f t="shared" si="148"/>
        <v>#DIV/0!</v>
      </c>
      <c r="AF453" s="93"/>
      <c r="AG453" s="55">
        <f t="shared" si="148"/>
        <v>0</v>
      </c>
      <c r="AH453" s="93">
        <f t="shared" si="148"/>
        <v>2782088416.290001</v>
      </c>
      <c r="AI453" s="56"/>
      <c r="AJ453" s="93">
        <f>AJ448+AJ451</f>
        <v>2417685924.930001</v>
      </c>
      <c r="AK453" s="56"/>
    </row>
    <row r="454" spans="1:37" s="12" customFormat="1" ht="15.75">
      <c r="A454" s="84"/>
      <c r="B454" s="24"/>
      <c r="C454" s="85" t="s">
        <v>592</v>
      </c>
      <c r="F454" s="18"/>
      <c r="G454" s="18"/>
      <c r="H454" s="18"/>
      <c r="I454" s="18"/>
      <c r="J454" s="18"/>
      <c r="K454" s="18"/>
      <c r="L454" s="18"/>
      <c r="M454" s="18"/>
      <c r="N454" s="18"/>
      <c r="O454" s="19"/>
      <c r="P454" s="18"/>
      <c r="Q454" s="18"/>
      <c r="R454" s="18"/>
      <c r="S454" s="18"/>
      <c r="T454" s="18"/>
      <c r="U454" s="18"/>
      <c r="V454" s="18"/>
      <c r="W454" s="18"/>
      <c r="X454" s="55"/>
      <c r="Y454" s="18"/>
      <c r="Z454" s="87"/>
      <c r="AA454" s="97"/>
      <c r="AB454" s="18"/>
      <c r="AC454" s="87"/>
      <c r="AD454" s="18"/>
      <c r="AF454" s="97"/>
      <c r="AG454" s="25"/>
      <c r="AH454" s="97"/>
      <c r="AI454" s="19"/>
      <c r="AJ454" s="97"/>
      <c r="AK454" s="19"/>
    </row>
    <row r="455" spans="1:37" s="31" customFormat="1" ht="12.75">
      <c r="A455" s="29"/>
      <c r="C455" s="31" t="s">
        <v>578</v>
      </c>
      <c r="D455" s="32">
        <f>D7-D277</f>
        <v>9468087300</v>
      </c>
      <c r="E455" s="32">
        <f aca="true" t="shared" si="149" ref="E455:L455">E7+E388-E277</f>
        <v>9232168269</v>
      </c>
      <c r="F455" s="32">
        <f t="shared" si="149"/>
        <v>10.947292794173578</v>
      </c>
      <c r="G455" s="32">
        <f t="shared" si="149"/>
        <v>10276876200</v>
      </c>
      <c r="H455" s="32">
        <f t="shared" si="149"/>
        <v>12451195509.609999</v>
      </c>
      <c r="I455" s="32">
        <f t="shared" si="149"/>
        <v>223.91030695419673</v>
      </c>
      <c r="J455" s="32" t="e">
        <f t="shared" si="149"/>
        <v>#REF!</v>
      </c>
      <c r="K455" s="32">
        <f t="shared" si="149"/>
        <v>11692600209</v>
      </c>
      <c r="L455" s="32">
        <f t="shared" si="149"/>
        <v>12293048634</v>
      </c>
      <c r="M455" s="33">
        <f>L455-K455</f>
        <v>600448425</v>
      </c>
      <c r="N455" s="32">
        <f>N7+N388-N277</f>
        <v>11730396706.88</v>
      </c>
      <c r="O455" s="34">
        <f>N455/L455*100</f>
        <v>95.42300739326922</v>
      </c>
      <c r="P455" s="32">
        <f aca="true" t="shared" si="150" ref="P455:AH455">P7+P388-P277</f>
        <v>12421714000</v>
      </c>
      <c r="Q455" s="32">
        <f t="shared" si="150"/>
        <v>99.89158586529999</v>
      </c>
      <c r="R455" s="32">
        <f t="shared" si="150"/>
        <v>101.24130934824016</v>
      </c>
      <c r="S455" s="32">
        <f t="shared" si="150"/>
        <v>106.18453460648931</v>
      </c>
      <c r="T455" s="32">
        <f t="shared" si="150"/>
        <v>12421714000</v>
      </c>
      <c r="U455" s="32">
        <f t="shared" si="150"/>
        <v>12964736700</v>
      </c>
      <c r="V455" s="32">
        <f t="shared" si="150"/>
        <v>543022700</v>
      </c>
      <c r="W455" s="32">
        <f t="shared" si="150"/>
        <v>662030200</v>
      </c>
      <c r="X455" s="32">
        <f t="shared" si="150"/>
        <v>-119007500</v>
      </c>
      <c r="Y455" s="32">
        <f t="shared" si="150"/>
        <v>911308884.1</v>
      </c>
      <c r="Z455" s="32">
        <f t="shared" si="150"/>
        <v>7.336418179487953</v>
      </c>
      <c r="AA455" s="32">
        <f t="shared" si="150"/>
        <v>600000</v>
      </c>
      <c r="AB455" s="32">
        <f t="shared" si="150"/>
        <v>1628947181.81</v>
      </c>
      <c r="AC455" s="32" t="e">
        <f t="shared" si="150"/>
        <v>#DIV/0!</v>
      </c>
      <c r="AD455" s="32">
        <f t="shared" si="150"/>
        <v>3698083159.419999</v>
      </c>
      <c r="AE455" s="32" t="e">
        <f t="shared" si="150"/>
        <v>#DIV/0!</v>
      </c>
      <c r="AF455" s="87">
        <f>AF7+AF388-AF277</f>
        <v>5383443735.002859</v>
      </c>
      <c r="AG455" s="32">
        <f t="shared" si="150"/>
        <v>13419228850</v>
      </c>
      <c r="AH455" s="87">
        <f t="shared" si="150"/>
        <v>4670742871.180001</v>
      </c>
      <c r="AI455" s="34">
        <f>+AH455/AG455*100</f>
        <v>34.80634337031968</v>
      </c>
      <c r="AJ455" s="87">
        <f>AJ7+AJ388-AJ277</f>
        <v>5795629268.070001</v>
      </c>
      <c r="AK455" s="34">
        <f>+AJ455/AG455*100</f>
        <v>43.188988971374464</v>
      </c>
    </row>
    <row r="456" spans="1:37" ht="12.75">
      <c r="A456" s="68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AI456" s="25"/>
      <c r="AK456" s="25"/>
    </row>
    <row r="457" spans="1:37" ht="12.75">
      <c r="A457" s="68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AI457" s="25"/>
      <c r="AK457" s="25"/>
    </row>
    <row r="458" spans="1:37" ht="12.75">
      <c r="A458" s="68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AI458" s="25"/>
      <c r="AK458" s="25"/>
    </row>
    <row r="459" spans="1:37" ht="12.75">
      <c r="A459" s="68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AI459" s="25"/>
      <c r="AK459" s="25"/>
    </row>
    <row r="460" spans="1:37" ht="12.75">
      <c r="A460" s="68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AI460" s="25"/>
      <c r="AK460" s="25"/>
    </row>
    <row r="461" spans="1:37" ht="12.75">
      <c r="A461" s="68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AI461" s="25"/>
      <c r="AK461" s="25"/>
    </row>
    <row r="462" spans="1:37" ht="12.75">
      <c r="A462" s="68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AI462" s="25"/>
      <c r="AK462" s="25"/>
    </row>
    <row r="463" spans="1:37" ht="12.75">
      <c r="A463" s="68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AI463" s="25"/>
      <c r="AK463" s="25"/>
    </row>
    <row r="464" spans="1:37" ht="12.75">
      <c r="A464" s="68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AI464" s="25"/>
      <c r="AK464" s="25"/>
    </row>
    <row r="465" spans="1:37" ht="12.75">
      <c r="A465" s="68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AI465" s="25"/>
      <c r="AK465" s="25"/>
    </row>
    <row r="466" spans="1:37" ht="12.75">
      <c r="A466" s="68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AI466" s="25"/>
      <c r="AK466" s="25"/>
    </row>
    <row r="467" spans="1:37" ht="12.75">
      <c r="A467" s="68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AI467" s="25"/>
      <c r="AK467" s="25"/>
    </row>
    <row r="468" spans="1:37" ht="12.75">
      <c r="A468" s="68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AI468" s="25"/>
      <c r="AK468" s="25"/>
    </row>
    <row r="469" spans="1:37" ht="12.75">
      <c r="A469" s="68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AI469" s="25"/>
      <c r="AK469" s="25"/>
    </row>
    <row r="470" spans="1:37" ht="12.75">
      <c r="A470" s="68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AI470" s="25"/>
      <c r="AK470" s="25"/>
    </row>
    <row r="471" spans="1:37" ht="12.75">
      <c r="A471" s="68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AI471" s="25"/>
      <c r="AK471" s="25"/>
    </row>
    <row r="472" spans="1:37" ht="12.75">
      <c r="A472" s="68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AI472" s="25"/>
      <c r="AK472" s="25"/>
    </row>
    <row r="473" spans="1:37" ht="12.75">
      <c r="A473" s="68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AI473" s="25"/>
      <c r="AK473" s="25"/>
    </row>
    <row r="474" spans="1:37" ht="12.75">
      <c r="A474" s="68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AI474" s="25"/>
      <c r="AK474" s="25"/>
    </row>
    <row r="475" spans="1:37" ht="12.75">
      <c r="A475" s="68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AI475" s="25"/>
      <c r="AK475" s="25"/>
    </row>
    <row r="476" spans="1:37" ht="12.75">
      <c r="A476" s="68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AI476" s="25"/>
      <c r="AK476" s="25"/>
    </row>
    <row r="477" spans="1:37" ht="12.75">
      <c r="A477" s="68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AI477" s="25"/>
      <c r="AK477" s="25"/>
    </row>
    <row r="478" spans="1:37" ht="12.75">
      <c r="A478" s="68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AI478" s="25"/>
      <c r="AK478" s="25"/>
    </row>
    <row r="479" spans="1:37" ht="12.75">
      <c r="A479" s="68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AI479" s="25"/>
      <c r="AK479" s="25"/>
    </row>
    <row r="480" spans="1:37" ht="12.75">
      <c r="A480" s="68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AI480" s="25"/>
      <c r="AK480" s="25"/>
    </row>
    <row r="481" spans="1:37" ht="12.75">
      <c r="A481" s="68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AI481" s="25"/>
      <c r="AK481" s="25"/>
    </row>
    <row r="482" spans="1:37" ht="12.75">
      <c r="A482" s="68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AI482" s="25"/>
      <c r="AK482" s="25"/>
    </row>
    <row r="483" spans="1:37" ht="12.75">
      <c r="A483" s="68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AI483" s="25"/>
      <c r="AK483" s="25"/>
    </row>
    <row r="484" spans="1:37" ht="12.75">
      <c r="A484" s="68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AI484" s="25"/>
      <c r="AK484" s="25"/>
    </row>
    <row r="485" spans="1:37" ht="12.75">
      <c r="A485" s="68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AI485" s="25"/>
      <c r="AK485" s="25"/>
    </row>
    <row r="486" spans="1:37" ht="12.75">
      <c r="A486" s="68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AI486" s="25"/>
      <c r="AK486" s="25"/>
    </row>
    <row r="487" spans="1:37" ht="12.75">
      <c r="A487" s="68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AI487" s="25"/>
      <c r="AK487" s="25"/>
    </row>
    <row r="488" spans="1:37" ht="12.75">
      <c r="A488" s="68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AI488" s="25"/>
      <c r="AK488" s="25"/>
    </row>
    <row r="489" spans="1:37" ht="12.75">
      <c r="A489" s="68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AI489" s="25"/>
      <c r="AK489" s="25"/>
    </row>
    <row r="490" spans="1:37" ht="12.75">
      <c r="A490" s="68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AI490" s="25"/>
      <c r="AK490" s="25"/>
    </row>
  </sheetData>
  <printOptions gridLines="1"/>
  <pageMargins left="0.23" right="0.18" top="0.52" bottom="0.65" header="0" footer="0"/>
  <pageSetup horizontalDpi="300" verticalDpi="300" orientation="portrait" paperSize="9" scale="95" r:id="rId1"/>
  <headerFooter alignWithMargins="0">
    <oddFooter>&amp;CStran &amp;P</oddFooter>
  </headerFooter>
  <rowBreaks count="1" manualBreakCount="1">
    <brk id="3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91"/>
  <sheetViews>
    <sheetView tabSelected="1" zoomScale="80" zoomScaleNormal="8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8.625" style="0" customWidth="1"/>
    <col min="2" max="2" width="4.625" style="0" customWidth="1"/>
    <col min="3" max="3" width="46.75390625" style="0" customWidth="1"/>
    <col min="4" max="4" width="18.75390625" style="0" customWidth="1"/>
    <col min="5" max="5" width="17.125" style="25" customWidth="1"/>
    <col min="6" max="6" width="18.875" style="0" customWidth="1"/>
    <col min="7" max="7" width="8.125" style="0" customWidth="1"/>
    <col min="8" max="8" width="6.75390625" style="0" customWidth="1"/>
  </cols>
  <sheetData>
    <row r="1" spans="1:9" s="3" customFormat="1" ht="18">
      <c r="A1" s="1" t="s">
        <v>0</v>
      </c>
      <c r="B1" s="2" t="s">
        <v>1</v>
      </c>
      <c r="G1" s="4"/>
      <c r="H1" s="4"/>
      <c r="I1" s="110"/>
    </row>
    <row r="2" spans="1:9" ht="12.75">
      <c r="A2" s="6"/>
      <c r="B2" s="6"/>
      <c r="C2" s="6"/>
      <c r="D2" s="6"/>
      <c r="E2" s="109" t="s">
        <v>607</v>
      </c>
      <c r="F2" s="7" t="s">
        <v>614</v>
      </c>
      <c r="G2" s="7"/>
      <c r="H2" s="7"/>
      <c r="I2" s="7"/>
    </row>
    <row r="3" spans="1:9" ht="12.75">
      <c r="A3" s="8" t="s">
        <v>7</v>
      </c>
      <c r="B3" s="9"/>
      <c r="C3" s="9" t="s">
        <v>8</v>
      </c>
      <c r="D3" s="9" t="s">
        <v>620</v>
      </c>
      <c r="E3" s="106" t="s">
        <v>600</v>
      </c>
      <c r="F3" s="9" t="s">
        <v>10</v>
      </c>
      <c r="G3" s="9" t="s">
        <v>11</v>
      </c>
      <c r="H3" s="9" t="s">
        <v>11</v>
      </c>
      <c r="I3" s="9" t="s">
        <v>617</v>
      </c>
    </row>
    <row r="4" spans="1:9" ht="12.75">
      <c r="A4" s="8" t="s">
        <v>22</v>
      </c>
      <c r="B4" s="9"/>
      <c r="C4" s="9"/>
      <c r="D4" s="9" t="s">
        <v>618</v>
      </c>
      <c r="E4" s="9">
        <v>2000</v>
      </c>
      <c r="F4" s="9" t="s">
        <v>610</v>
      </c>
      <c r="G4" s="10" t="s">
        <v>619</v>
      </c>
      <c r="H4" s="10" t="s">
        <v>621</v>
      </c>
      <c r="I4" s="9" t="s">
        <v>613</v>
      </c>
    </row>
    <row r="5" spans="1:9" ht="13.5" thickBot="1">
      <c r="A5" s="11">
        <v>1</v>
      </c>
      <c r="B5" s="11"/>
      <c r="C5" s="11">
        <v>2</v>
      </c>
      <c r="D5" s="11">
        <v>3</v>
      </c>
      <c r="E5" s="107">
        <v>4</v>
      </c>
      <c r="F5" s="11">
        <v>5</v>
      </c>
      <c r="G5" s="11">
        <v>6</v>
      </c>
      <c r="H5" s="11">
        <v>7</v>
      </c>
      <c r="I5" s="11">
        <v>8</v>
      </c>
    </row>
    <row r="6" ht="13.5" thickTop="1"/>
    <row r="7" spans="2:9" s="12" customFormat="1" ht="15.75">
      <c r="B7" s="13" t="s">
        <v>32</v>
      </c>
      <c r="C7" s="14" t="s">
        <v>33</v>
      </c>
      <c r="D7" s="91">
        <v>5374387093.002859</v>
      </c>
      <c r="E7" s="15">
        <v>13419228850</v>
      </c>
      <c r="F7" s="91">
        <v>5795629268.070001</v>
      </c>
      <c r="G7" s="16">
        <v>107.837957478269</v>
      </c>
      <c r="H7" s="16">
        <v>43.188988971374464</v>
      </c>
      <c r="I7" s="16">
        <v>100</v>
      </c>
    </row>
    <row r="8" spans="3:9" s="12" customFormat="1" ht="15.75">
      <c r="C8" s="17" t="s">
        <v>34</v>
      </c>
      <c r="D8" s="97"/>
      <c r="E8" s="18"/>
      <c r="F8" s="97"/>
      <c r="G8" s="19"/>
      <c r="H8" s="19"/>
      <c r="I8" s="19"/>
    </row>
    <row r="9" spans="4:9" s="20" customFormat="1" ht="12.75" customHeight="1">
      <c r="D9" s="94"/>
      <c r="E9" s="21"/>
      <c r="F9" s="94"/>
      <c r="G9" s="23"/>
      <c r="H9" s="23"/>
      <c r="I9" s="23"/>
    </row>
    <row r="10" spans="3:9" s="12" customFormat="1" ht="15.75">
      <c r="C10" s="24" t="s">
        <v>35</v>
      </c>
      <c r="D10" s="91">
        <v>4544280748.002859</v>
      </c>
      <c r="E10" s="15">
        <v>11653051300</v>
      </c>
      <c r="F10" s="91">
        <v>5249392002.35</v>
      </c>
      <c r="G10" s="16">
        <v>115.51645449408088</v>
      </c>
      <c r="H10" s="16">
        <v>45.04736027678862</v>
      </c>
      <c r="I10" s="16">
        <v>90.57501367919791</v>
      </c>
    </row>
    <row r="11" spans="4:9" ht="12.75" customHeight="1">
      <c r="D11" s="89"/>
      <c r="F11" s="89"/>
      <c r="G11" s="26"/>
      <c r="H11" s="26"/>
      <c r="I11" s="26"/>
    </row>
    <row r="12" spans="1:9" s="12" customFormat="1" ht="15.75">
      <c r="A12" s="27">
        <v>70</v>
      </c>
      <c r="B12" s="24"/>
      <c r="C12" s="24" t="s">
        <v>36</v>
      </c>
      <c r="D12" s="91">
        <v>3591781090.002859</v>
      </c>
      <c r="E12" s="15">
        <v>8704076300</v>
      </c>
      <c r="F12" s="91">
        <v>3914698158.2000003</v>
      </c>
      <c r="G12" s="16">
        <v>108.99044401942892</v>
      </c>
      <c r="H12" s="16">
        <v>44.97545774271304</v>
      </c>
      <c r="I12" s="16">
        <v>67.54569654355466</v>
      </c>
    </row>
    <row r="13" spans="1:9" ht="12.75">
      <c r="A13" s="28"/>
      <c r="C13" s="29" t="s">
        <v>37</v>
      </c>
      <c r="D13" s="89"/>
      <c r="F13" s="89"/>
      <c r="G13" s="26"/>
      <c r="H13" s="26"/>
      <c r="I13" s="26"/>
    </row>
    <row r="14" spans="1:9" ht="12.75" customHeight="1">
      <c r="A14" s="28"/>
      <c r="D14" s="89"/>
      <c r="F14" s="89"/>
      <c r="G14" s="26"/>
      <c r="H14" s="26"/>
      <c r="I14" s="26"/>
    </row>
    <row r="15" spans="1:9" s="31" customFormat="1" ht="12.75">
      <c r="A15" s="30">
        <v>700</v>
      </c>
      <c r="C15" s="31" t="s">
        <v>38</v>
      </c>
      <c r="D15" s="87">
        <v>2511119373</v>
      </c>
      <c r="E15" s="32">
        <v>5505000000</v>
      </c>
      <c r="F15" s="87">
        <v>2721580286.4200006</v>
      </c>
      <c r="G15" s="22">
        <v>108.38115924248419</v>
      </c>
      <c r="H15" s="22">
        <v>49.43833399491373</v>
      </c>
      <c r="I15" s="22">
        <v>46.95918528491924</v>
      </c>
    </row>
    <row r="16" spans="1:9" s="31" customFormat="1" ht="12.75">
      <c r="A16" s="30">
        <v>7000</v>
      </c>
      <c r="C16" s="31" t="s">
        <v>39</v>
      </c>
      <c r="D16" s="87">
        <v>2511119373</v>
      </c>
      <c r="E16" s="32">
        <v>5505000000</v>
      </c>
      <c r="F16" s="87">
        <v>2721580286.4200006</v>
      </c>
      <c r="G16" s="22">
        <v>108.38115924248419</v>
      </c>
      <c r="H16" s="22">
        <v>49.43833399491373</v>
      </c>
      <c r="I16" s="22">
        <v>46.95918528491924</v>
      </c>
    </row>
    <row r="17" spans="1:9" s="36" customFormat="1" ht="12.75" customHeight="1">
      <c r="A17" s="35" t="s">
        <v>40</v>
      </c>
      <c r="C17" s="36" t="s">
        <v>41</v>
      </c>
      <c r="D17" s="88">
        <v>31329194</v>
      </c>
      <c r="E17" s="37">
        <v>130000000</v>
      </c>
      <c r="F17" s="88">
        <v>19406272.17</v>
      </c>
      <c r="G17" s="39">
        <v>61.94309425898413</v>
      </c>
      <c r="H17" s="39">
        <v>14.92790166923077</v>
      </c>
      <c r="I17" s="39">
        <v>0.3348432287916593</v>
      </c>
    </row>
    <row r="18" spans="1:9" s="36" customFormat="1" ht="12.75" customHeight="1">
      <c r="A18" s="35" t="s">
        <v>42</v>
      </c>
      <c r="C18" s="36" t="s">
        <v>43</v>
      </c>
      <c r="D18" s="88">
        <v>2172603452</v>
      </c>
      <c r="E18" s="37">
        <v>4690000000</v>
      </c>
      <c r="F18" s="88">
        <v>2391991286.65</v>
      </c>
      <c r="G18" s="39">
        <v>110.09792350500234</v>
      </c>
      <c r="H18" s="39">
        <v>51.001946410447765</v>
      </c>
      <c r="I18" s="39">
        <v>41.27233085505063</v>
      </c>
    </row>
    <row r="19" spans="1:9" s="36" customFormat="1" ht="12.75" customHeight="1">
      <c r="A19" s="35" t="s">
        <v>44</v>
      </c>
      <c r="C19" s="36" t="s">
        <v>45</v>
      </c>
      <c r="D19" s="88">
        <v>34212301</v>
      </c>
      <c r="E19" s="37">
        <v>76000000</v>
      </c>
      <c r="F19" s="88">
        <v>38755493.06</v>
      </c>
      <c r="G19" s="39">
        <v>113.27941099313958</v>
      </c>
      <c r="H19" s="39">
        <v>50.99406981578948</v>
      </c>
      <c r="I19" s="39">
        <v>0.6687020730176199</v>
      </c>
    </row>
    <row r="20" spans="1:9" s="36" customFormat="1" ht="12.75" customHeight="1">
      <c r="A20" s="35" t="s">
        <v>46</v>
      </c>
      <c r="C20" s="36" t="s">
        <v>47</v>
      </c>
      <c r="D20" s="88">
        <v>49850554</v>
      </c>
      <c r="E20" s="37">
        <v>106000000</v>
      </c>
      <c r="F20" s="88">
        <v>51251031.23</v>
      </c>
      <c r="G20" s="39">
        <v>102.80935138654628</v>
      </c>
      <c r="H20" s="39">
        <v>48.350029462264146</v>
      </c>
      <c r="I20" s="39">
        <v>0.8843048590488446</v>
      </c>
    </row>
    <row r="21" spans="1:9" s="36" customFormat="1" ht="12.75" customHeight="1">
      <c r="A21" s="35" t="s">
        <v>48</v>
      </c>
      <c r="C21" s="36" t="s">
        <v>49</v>
      </c>
      <c r="D21" s="88">
        <v>4241407</v>
      </c>
      <c r="E21" s="37">
        <v>9600000</v>
      </c>
      <c r="F21" s="88">
        <v>6298951.32</v>
      </c>
      <c r="G21" s="39">
        <v>148.51089084353376</v>
      </c>
      <c r="H21" s="39">
        <v>65.61407625000001</v>
      </c>
      <c r="I21" s="39">
        <v>0.10868451083824433</v>
      </c>
    </row>
    <row r="22" spans="1:9" s="36" customFormat="1" ht="12.75" customHeight="1">
      <c r="A22" s="35" t="s">
        <v>50</v>
      </c>
      <c r="C22" s="36" t="s">
        <v>51</v>
      </c>
      <c r="D22" s="88">
        <v>556633</v>
      </c>
      <c r="E22" s="37">
        <v>1100000</v>
      </c>
      <c r="F22" s="88">
        <v>896471.07</v>
      </c>
      <c r="G22" s="39">
        <v>161.0524474833508</v>
      </c>
      <c r="H22" s="39">
        <v>81.49736999999999</v>
      </c>
      <c r="I22" s="39">
        <v>0.015468054089293626</v>
      </c>
    </row>
    <row r="23" spans="1:9" s="36" customFormat="1" ht="12.75" customHeight="1">
      <c r="A23" s="35" t="s">
        <v>52</v>
      </c>
      <c r="C23" s="36" t="s">
        <v>53</v>
      </c>
      <c r="D23" s="88">
        <v>526543</v>
      </c>
      <c r="E23" s="37">
        <v>1000000</v>
      </c>
      <c r="F23" s="88">
        <v>416161.3</v>
      </c>
      <c r="G23" s="39">
        <v>79.03652693132375</v>
      </c>
      <c r="H23" s="39">
        <v>41.61613</v>
      </c>
      <c r="I23" s="39">
        <v>0.00718060594891339</v>
      </c>
    </row>
    <row r="24" spans="1:9" s="36" customFormat="1" ht="12.75" customHeight="1">
      <c r="A24" s="35" t="s">
        <v>54</v>
      </c>
      <c r="C24" s="36" t="s">
        <v>55</v>
      </c>
      <c r="D24" s="88">
        <v>85485255</v>
      </c>
      <c r="E24" s="37">
        <v>195000000</v>
      </c>
      <c r="F24" s="88">
        <v>90141284.82</v>
      </c>
      <c r="G24" s="39">
        <v>105.44658820986143</v>
      </c>
      <c r="H24" s="39">
        <v>46.2262999076923</v>
      </c>
      <c r="I24" s="39">
        <v>1.5553321416988752</v>
      </c>
    </row>
    <row r="25" spans="1:9" s="36" customFormat="1" ht="12.75" customHeight="1">
      <c r="A25" s="35" t="s">
        <v>56</v>
      </c>
      <c r="C25" s="36" t="s">
        <v>57</v>
      </c>
      <c r="D25" s="88">
        <v>4516698</v>
      </c>
      <c r="E25" s="37">
        <v>10000000</v>
      </c>
      <c r="F25" s="88">
        <v>5027512.58</v>
      </c>
      <c r="G25" s="39">
        <v>111.30946943984301</v>
      </c>
      <c r="H25" s="39">
        <v>50.2751258</v>
      </c>
      <c r="I25" s="39">
        <v>0.08674662141863</v>
      </c>
    </row>
    <row r="26" spans="1:9" s="36" customFormat="1" ht="12.75" customHeight="1">
      <c r="A26" s="35" t="s">
        <v>58</v>
      </c>
      <c r="C26" s="36" t="s">
        <v>59</v>
      </c>
      <c r="D26" s="88">
        <v>629074</v>
      </c>
      <c r="E26" s="37">
        <v>2100000</v>
      </c>
      <c r="F26" s="88">
        <v>510999.41</v>
      </c>
      <c r="G26" s="39">
        <v>81.23041327411401</v>
      </c>
      <c r="H26" s="39">
        <v>24.33330523809524</v>
      </c>
      <c r="I26" s="39">
        <v>0.00881697890538412</v>
      </c>
    </row>
    <row r="27" spans="1:9" s="36" customFormat="1" ht="12.75" customHeight="1">
      <c r="A27" s="35" t="s">
        <v>60</v>
      </c>
      <c r="C27" s="36" t="s">
        <v>61</v>
      </c>
      <c r="D27" s="88">
        <v>1202892</v>
      </c>
      <c r="E27" s="37">
        <v>5300000</v>
      </c>
      <c r="F27" s="88">
        <v>489251.41</v>
      </c>
      <c r="G27" s="39">
        <v>40.67292907426435</v>
      </c>
      <c r="H27" s="39">
        <v>9.231158679245283</v>
      </c>
      <c r="I27" s="39">
        <v>0.008441730610607627</v>
      </c>
    </row>
    <row r="28" spans="1:9" s="36" customFormat="1" ht="12.75" customHeight="1">
      <c r="A28" s="35" t="s">
        <v>62</v>
      </c>
      <c r="C28" s="36" t="s">
        <v>63</v>
      </c>
      <c r="D28" s="88">
        <v>34186803</v>
      </c>
      <c r="E28" s="37">
        <v>83000000</v>
      </c>
      <c r="F28" s="88">
        <v>22182014.14</v>
      </c>
      <c r="G28" s="39">
        <v>64.88472800454609</v>
      </c>
      <c r="H28" s="39">
        <v>26.72531824096386</v>
      </c>
      <c r="I28" s="39">
        <v>0.38273694044247974</v>
      </c>
    </row>
    <row r="29" spans="1:9" s="36" customFormat="1" ht="12.75" customHeight="1">
      <c r="A29" s="35" t="s">
        <v>64</v>
      </c>
      <c r="C29" s="36" t="s">
        <v>65</v>
      </c>
      <c r="D29" s="88">
        <v>1415350</v>
      </c>
      <c r="E29" s="37">
        <v>3200000</v>
      </c>
      <c r="F29" s="88">
        <v>598683.88</v>
      </c>
      <c r="G29" s="39">
        <v>42.299352103719926</v>
      </c>
      <c r="H29" s="39">
        <v>18.70887125</v>
      </c>
      <c r="I29" s="39">
        <v>0.010329920226235715</v>
      </c>
    </row>
    <row r="30" spans="1:9" s="36" customFormat="1" ht="12.75" customHeight="1">
      <c r="A30" s="35" t="s">
        <v>66</v>
      </c>
      <c r="C30" s="36" t="s">
        <v>67</v>
      </c>
      <c r="D30" s="88">
        <v>22044702</v>
      </c>
      <c r="E30" s="37">
        <v>46000000</v>
      </c>
      <c r="F30" s="88">
        <v>23403806.81</v>
      </c>
      <c r="G30" s="39">
        <v>106.16522196580385</v>
      </c>
      <c r="H30" s="39">
        <v>50.87784089130435</v>
      </c>
      <c r="I30" s="39">
        <v>0.4038182176168368</v>
      </c>
    </row>
    <row r="31" spans="1:9" s="36" customFormat="1" ht="12.75" customHeight="1">
      <c r="A31" s="35"/>
      <c r="C31" s="36" t="s">
        <v>68</v>
      </c>
      <c r="D31" s="88"/>
      <c r="E31" s="37"/>
      <c r="F31" s="88"/>
      <c r="G31" s="39"/>
      <c r="H31" s="39"/>
      <c r="I31" s="39"/>
    </row>
    <row r="32" spans="1:9" s="36" customFormat="1" ht="12.75" customHeight="1">
      <c r="A32" s="35" t="s">
        <v>69</v>
      </c>
      <c r="C32" s="36" t="s">
        <v>70</v>
      </c>
      <c r="D32" s="88">
        <v>56720471</v>
      </c>
      <c r="E32" s="37">
        <v>120000000</v>
      </c>
      <c r="F32" s="88">
        <v>57057621.01</v>
      </c>
      <c r="G32" s="39">
        <v>100.59440622416551</v>
      </c>
      <c r="H32" s="39">
        <v>47.54801750833333</v>
      </c>
      <c r="I32" s="39">
        <v>0.9844939759061008</v>
      </c>
    </row>
    <row r="33" spans="1:9" s="36" customFormat="1" ht="12.75" customHeight="1">
      <c r="A33" s="35" t="s">
        <v>71</v>
      </c>
      <c r="C33" s="36" t="s">
        <v>72</v>
      </c>
      <c r="D33" s="88">
        <v>1123577</v>
      </c>
      <c r="E33" s="37">
        <v>2200000</v>
      </c>
      <c r="F33" s="88">
        <v>979854.45</v>
      </c>
      <c r="G33" s="39">
        <v>87.20848237370468</v>
      </c>
      <c r="H33" s="39">
        <v>44.538838636363636</v>
      </c>
      <c r="I33" s="39">
        <v>0.01690678276124968</v>
      </c>
    </row>
    <row r="34" spans="1:9" s="36" customFormat="1" ht="12.75" customHeight="1">
      <c r="A34" s="35"/>
      <c r="C34" s="36" t="s">
        <v>73</v>
      </c>
      <c r="D34" s="88"/>
      <c r="E34" s="37"/>
      <c r="F34" s="88"/>
      <c r="G34" s="39"/>
      <c r="H34" s="39"/>
      <c r="I34" s="39"/>
    </row>
    <row r="35" spans="1:9" s="36" customFormat="1" ht="12.75" customHeight="1">
      <c r="A35" s="35" t="s">
        <v>74</v>
      </c>
      <c r="C35" s="36" t="s">
        <v>75</v>
      </c>
      <c r="D35" s="88">
        <v>10474467</v>
      </c>
      <c r="E35" s="37">
        <v>24500000</v>
      </c>
      <c r="F35" s="88">
        <v>12173591.11</v>
      </c>
      <c r="G35" s="39">
        <v>116.22158063030797</v>
      </c>
      <c r="H35" s="39">
        <v>49.688126979591836</v>
      </c>
      <c r="I35" s="39">
        <v>0.21004778854762599</v>
      </c>
    </row>
    <row r="36" spans="1:9" ht="12.75" customHeight="1">
      <c r="A36" s="28"/>
      <c r="D36" s="89"/>
      <c r="F36" s="89"/>
      <c r="G36" s="26"/>
      <c r="H36" s="26"/>
      <c r="I36" s="26"/>
    </row>
    <row r="37" spans="1:9" s="31" customFormat="1" ht="12.75">
      <c r="A37" s="30">
        <v>703</v>
      </c>
      <c r="C37" s="31" t="s">
        <v>76</v>
      </c>
      <c r="D37" s="87">
        <v>904192241</v>
      </c>
      <c r="E37" s="32">
        <v>2032600000</v>
      </c>
      <c r="F37" s="87">
        <v>871108197.1199998</v>
      </c>
      <c r="G37" s="22">
        <v>96.34103873271346</v>
      </c>
      <c r="H37" s="22">
        <v>42.85684331004623</v>
      </c>
      <c r="I37" s="22">
        <v>15.03043339778852</v>
      </c>
    </row>
    <row r="38" spans="1:9" s="31" customFormat="1" ht="12.75">
      <c r="A38" s="30">
        <v>7030</v>
      </c>
      <c r="C38" s="31" t="s">
        <v>77</v>
      </c>
      <c r="D38" s="87">
        <v>610104104</v>
      </c>
      <c r="E38" s="32">
        <v>1421000000</v>
      </c>
      <c r="F38" s="87">
        <v>637329584.7299999</v>
      </c>
      <c r="G38" s="22">
        <v>104.46243199340944</v>
      </c>
      <c r="H38" s="22">
        <v>44.85078006544686</v>
      </c>
      <c r="I38" s="22">
        <v>10.996727969493408</v>
      </c>
    </row>
    <row r="39" spans="1:9" s="36" customFormat="1" ht="12.75" customHeight="1">
      <c r="A39" s="35" t="s">
        <v>78</v>
      </c>
      <c r="C39" s="36" t="s">
        <v>79</v>
      </c>
      <c r="D39" s="88">
        <v>230849</v>
      </c>
      <c r="E39" s="37">
        <v>7000000</v>
      </c>
      <c r="F39" s="88">
        <v>3441120.53</v>
      </c>
      <c r="G39" s="39">
        <v>1490.6369661553656</v>
      </c>
      <c r="H39" s="39">
        <v>49.15886471428571</v>
      </c>
      <c r="I39" s="39">
        <v>0.05937440734793455</v>
      </c>
    </row>
    <row r="40" spans="1:9" s="36" customFormat="1" ht="12.75" customHeight="1">
      <c r="A40" s="35" t="s">
        <v>80</v>
      </c>
      <c r="C40" s="36" t="s">
        <v>81</v>
      </c>
      <c r="D40" s="88">
        <v>87832</v>
      </c>
      <c r="E40" s="37">
        <v>2000000</v>
      </c>
      <c r="F40" s="88">
        <v>668811.55</v>
      </c>
      <c r="G40" s="39">
        <v>761.4668344111486</v>
      </c>
      <c r="H40" s="39">
        <v>33.4405775</v>
      </c>
      <c r="I40" s="39">
        <v>0.011539929817193442</v>
      </c>
    </row>
    <row r="41" spans="1:9" s="36" customFormat="1" ht="12.75" customHeight="1" hidden="1">
      <c r="A41" s="35" t="s">
        <v>82</v>
      </c>
      <c r="C41" s="36" t="s">
        <v>83</v>
      </c>
      <c r="D41" s="88"/>
      <c r="E41" s="37"/>
      <c r="F41" s="88"/>
      <c r="G41" s="39" t="e">
        <v>#DIV/0!</v>
      </c>
      <c r="H41" s="39"/>
      <c r="I41" s="39">
        <v>0</v>
      </c>
    </row>
    <row r="42" spans="1:9" s="36" customFormat="1" ht="12.75" customHeight="1">
      <c r="A42" s="35" t="s">
        <v>84</v>
      </c>
      <c r="C42" s="36" t="s">
        <v>85</v>
      </c>
      <c r="D42" s="88">
        <v>569345905</v>
      </c>
      <c r="E42" s="37">
        <v>1067000000</v>
      </c>
      <c r="F42" s="88">
        <v>475979823.74</v>
      </c>
      <c r="G42" s="39">
        <v>83.60116750817765</v>
      </c>
      <c r="H42" s="39">
        <v>44.60916811059044</v>
      </c>
      <c r="I42" s="39">
        <v>8.212737594558146</v>
      </c>
    </row>
    <row r="43" spans="1:9" s="36" customFormat="1" ht="12.75" customHeight="1">
      <c r="A43" s="35" t="s">
        <v>86</v>
      </c>
      <c r="C43" s="36" t="s">
        <v>87</v>
      </c>
      <c r="D43" s="88">
        <v>18546041</v>
      </c>
      <c r="E43" s="37">
        <v>315000000</v>
      </c>
      <c r="F43" s="88">
        <v>135914335.98</v>
      </c>
      <c r="G43" s="39">
        <v>732.8482449704494</v>
      </c>
      <c r="H43" s="39">
        <v>43.14740824761905</v>
      </c>
      <c r="I43" s="39">
        <v>2.3451178412807754</v>
      </c>
    </row>
    <row r="44" spans="1:9" s="36" customFormat="1" ht="12.75" customHeight="1">
      <c r="A44" s="35" t="s">
        <v>88</v>
      </c>
      <c r="C44" s="36" t="s">
        <v>89</v>
      </c>
      <c r="D44" s="88">
        <v>21893477</v>
      </c>
      <c r="E44" s="37">
        <v>30000000</v>
      </c>
      <c r="F44" s="88">
        <v>21325492.93</v>
      </c>
      <c r="G44" s="39">
        <v>97.40569270929419</v>
      </c>
      <c r="H44" s="39">
        <v>71.08497643333334</v>
      </c>
      <c r="I44" s="39">
        <v>0.36795819648936223</v>
      </c>
    </row>
    <row r="45" spans="1:9" s="31" customFormat="1" ht="12.75">
      <c r="A45" s="30">
        <v>7031</v>
      </c>
      <c r="C45" s="31" t="s">
        <v>90</v>
      </c>
      <c r="D45" s="87">
        <v>10826</v>
      </c>
      <c r="E45" s="32">
        <v>600000</v>
      </c>
      <c r="F45" s="87">
        <v>65209.55</v>
      </c>
      <c r="G45" s="22">
        <v>602.3420469240717</v>
      </c>
      <c r="H45" s="22">
        <v>10.868258333333333</v>
      </c>
      <c r="I45" s="22">
        <v>0.0011251504708774342</v>
      </c>
    </row>
    <row r="46" spans="1:9" s="36" customFormat="1" ht="12.75" customHeight="1">
      <c r="A46" s="35" t="s">
        <v>91</v>
      </c>
      <c r="C46" s="36" t="s">
        <v>92</v>
      </c>
      <c r="D46" s="88">
        <v>10826</v>
      </c>
      <c r="E46" s="37">
        <v>600000</v>
      </c>
      <c r="F46" s="88">
        <v>65209.55</v>
      </c>
      <c r="G46" s="39">
        <v>602.3420469240717</v>
      </c>
      <c r="H46" s="39">
        <v>10.868258333333333</v>
      </c>
      <c r="I46" s="39">
        <v>0.0011251504708774342</v>
      </c>
    </row>
    <row r="47" spans="1:9" s="36" customFormat="1" ht="12.75" customHeight="1" hidden="1">
      <c r="A47" s="35" t="s">
        <v>93</v>
      </c>
      <c r="C47" s="36" t="s">
        <v>94</v>
      </c>
      <c r="D47" s="88"/>
      <c r="E47" s="37"/>
      <c r="F47" s="88"/>
      <c r="G47" s="39" t="e">
        <v>#DIV/0!</v>
      </c>
      <c r="H47" s="39" t="e">
        <v>#DIV/0!</v>
      </c>
      <c r="I47" s="39">
        <v>0</v>
      </c>
    </row>
    <row r="48" spans="1:9" s="31" customFormat="1" ht="12.75">
      <c r="A48" s="30">
        <v>7032</v>
      </c>
      <c r="C48" s="31" t="s">
        <v>95</v>
      </c>
      <c r="D48" s="87">
        <v>7049154</v>
      </c>
      <c r="E48" s="32">
        <v>16000000</v>
      </c>
      <c r="F48" s="87">
        <v>8136529.79</v>
      </c>
      <c r="G48" s="22">
        <v>115.42562114545944</v>
      </c>
      <c r="H48" s="22">
        <v>50.853311187500005</v>
      </c>
      <c r="I48" s="22">
        <v>0.14039079129555057</v>
      </c>
    </row>
    <row r="49" spans="1:9" s="36" customFormat="1" ht="12.75" customHeight="1">
      <c r="A49" s="35" t="s">
        <v>96</v>
      </c>
      <c r="C49" s="36" t="s">
        <v>97</v>
      </c>
      <c r="D49" s="88">
        <v>6599791</v>
      </c>
      <c r="E49" s="37">
        <v>15000000</v>
      </c>
      <c r="F49" s="88">
        <v>7769220.08</v>
      </c>
      <c r="G49" s="39">
        <v>117.71918353172093</v>
      </c>
      <c r="H49" s="39">
        <v>51.79480053333333</v>
      </c>
      <c r="I49" s="39">
        <v>0.13405308933066423</v>
      </c>
    </row>
    <row r="50" spans="1:9" s="36" customFormat="1" ht="12.75" customHeight="1">
      <c r="A50" s="35" t="s">
        <v>98</v>
      </c>
      <c r="C50" s="36" t="s">
        <v>99</v>
      </c>
      <c r="D50" s="88">
        <v>449363</v>
      </c>
      <c r="E50" s="37">
        <v>1000000</v>
      </c>
      <c r="F50" s="88">
        <v>367309.71</v>
      </c>
      <c r="G50" s="39">
        <v>81.74008763516356</v>
      </c>
      <c r="H50" s="39">
        <v>36.730971000000004</v>
      </c>
      <c r="I50" s="39">
        <v>0.006337701964886336</v>
      </c>
    </row>
    <row r="51" spans="1:9" s="31" customFormat="1" ht="12.75">
      <c r="A51" s="30">
        <v>7033</v>
      </c>
      <c r="C51" s="31" t="s">
        <v>100</v>
      </c>
      <c r="D51" s="87">
        <v>287028157</v>
      </c>
      <c r="E51" s="32">
        <v>595000000</v>
      </c>
      <c r="F51" s="87">
        <v>225576873.04999998</v>
      </c>
      <c r="G51" s="22">
        <v>78.59050324808376</v>
      </c>
      <c r="H51" s="22">
        <v>37.91207950420168</v>
      </c>
      <c r="I51" s="22">
        <v>3.8921894865286855</v>
      </c>
    </row>
    <row r="52" spans="1:9" s="36" customFormat="1" ht="12.75" customHeight="1">
      <c r="A52" s="35" t="s">
        <v>101</v>
      </c>
      <c r="C52" s="36" t="s">
        <v>102</v>
      </c>
      <c r="D52" s="88">
        <v>164983972</v>
      </c>
      <c r="E52" s="37">
        <v>340000000</v>
      </c>
      <c r="F52" s="88">
        <v>106535757.31</v>
      </c>
      <c r="G52" s="39">
        <v>64.57339826319614</v>
      </c>
      <c r="H52" s="39">
        <v>31.334046267647057</v>
      </c>
      <c r="I52" s="39">
        <v>1.8382086289911608</v>
      </c>
    </row>
    <row r="53" spans="1:9" s="36" customFormat="1" ht="12.75" customHeight="1">
      <c r="A53" s="35" t="s">
        <v>103</v>
      </c>
      <c r="C53" s="36" t="s">
        <v>104</v>
      </c>
      <c r="D53" s="88">
        <v>103407413</v>
      </c>
      <c r="E53" s="37">
        <v>220000000</v>
      </c>
      <c r="F53" s="88">
        <v>107095754.52</v>
      </c>
      <c r="G53" s="39">
        <v>103.56680571827088</v>
      </c>
      <c r="H53" s="39">
        <v>48.67988841818182</v>
      </c>
      <c r="I53" s="39">
        <v>1.8478710346437308</v>
      </c>
    </row>
    <row r="54" spans="1:9" s="36" customFormat="1" ht="12.75" customHeight="1">
      <c r="A54" s="35" t="s">
        <v>105</v>
      </c>
      <c r="C54" s="36" t="s">
        <v>106</v>
      </c>
      <c r="D54" s="88">
        <v>5968809</v>
      </c>
      <c r="E54" s="37">
        <v>13000000</v>
      </c>
      <c r="F54" s="88">
        <v>4669517.37</v>
      </c>
      <c r="G54" s="39">
        <v>78.23197843991993</v>
      </c>
      <c r="H54" s="39">
        <v>35.919364384615385</v>
      </c>
      <c r="I54" s="39">
        <v>0.08056963539275855</v>
      </c>
    </row>
    <row r="55" spans="1:9" s="36" customFormat="1" ht="12.75" customHeight="1">
      <c r="A55" s="35"/>
      <c r="C55" s="36" t="s">
        <v>107</v>
      </c>
      <c r="D55" s="88"/>
      <c r="E55" s="37"/>
      <c r="F55" s="88"/>
      <c r="G55" s="39"/>
      <c r="H55" s="39"/>
      <c r="I55" s="39"/>
    </row>
    <row r="56" spans="1:9" s="36" customFormat="1" ht="12.75" customHeight="1">
      <c r="A56" s="35" t="s">
        <v>108</v>
      </c>
      <c r="C56" s="36" t="s">
        <v>109</v>
      </c>
      <c r="D56" s="88">
        <v>12667963</v>
      </c>
      <c r="E56" s="37">
        <v>22000000</v>
      </c>
      <c r="F56" s="88">
        <v>7275843.85</v>
      </c>
      <c r="G56" s="39">
        <v>57.43499448174896</v>
      </c>
      <c r="H56" s="39">
        <v>33.0720175</v>
      </c>
      <c r="I56" s="39">
        <v>0.12554018750103602</v>
      </c>
    </row>
    <row r="57" spans="1:9" ht="12.75" customHeight="1">
      <c r="A57" s="28"/>
      <c r="D57" s="89"/>
      <c r="F57" s="89"/>
      <c r="G57" s="26"/>
      <c r="H57" s="26"/>
      <c r="I57" s="26"/>
    </row>
    <row r="58" spans="1:9" s="31" customFormat="1" ht="12.75">
      <c r="A58" s="30">
        <v>704</v>
      </c>
      <c r="C58" s="31" t="s">
        <v>110</v>
      </c>
      <c r="D58" s="87">
        <v>176469476.002859</v>
      </c>
      <c r="E58" s="32">
        <v>1166476300</v>
      </c>
      <c r="F58" s="87">
        <v>322009674.66</v>
      </c>
      <c r="G58" s="22">
        <v>182.47329903942318</v>
      </c>
      <c r="H58" s="22">
        <v>27.605333658300644</v>
      </c>
      <c r="I58" s="22">
        <v>5.556077860846891</v>
      </c>
    </row>
    <row r="59" spans="1:9" s="31" customFormat="1" ht="12.75">
      <c r="A59" s="30">
        <v>7044</v>
      </c>
      <c r="C59" s="31" t="s">
        <v>111</v>
      </c>
      <c r="D59" s="87">
        <v>48456555</v>
      </c>
      <c r="E59" s="32">
        <v>97000000</v>
      </c>
      <c r="F59" s="87">
        <v>45464793.76</v>
      </c>
      <c r="G59" s="22">
        <v>93.8258895210359</v>
      </c>
      <c r="H59" s="22">
        <v>46.87092140206185</v>
      </c>
      <c r="I59" s="22">
        <v>0.7844669087182694</v>
      </c>
    </row>
    <row r="60" spans="1:9" s="36" customFormat="1" ht="12.75" customHeight="1">
      <c r="A60" s="35" t="s">
        <v>112</v>
      </c>
      <c r="C60" s="36" t="s">
        <v>113</v>
      </c>
      <c r="D60" s="88">
        <v>17568465</v>
      </c>
      <c r="E60" s="37">
        <v>27000000</v>
      </c>
      <c r="F60" s="88">
        <v>12783201.76</v>
      </c>
      <c r="G60" s="39">
        <v>72.76220068173286</v>
      </c>
      <c r="H60" s="39">
        <v>47.345191703703705</v>
      </c>
      <c r="I60" s="39">
        <v>0.22056624343497608</v>
      </c>
    </row>
    <row r="61" spans="1:9" s="36" customFormat="1" ht="12.75" customHeight="1">
      <c r="A61" s="35" t="s">
        <v>114</v>
      </c>
      <c r="C61" s="36" t="s">
        <v>115</v>
      </c>
      <c r="D61" s="88">
        <v>30888090</v>
      </c>
      <c r="E61" s="37">
        <v>70000000</v>
      </c>
      <c r="F61" s="88">
        <v>32681592</v>
      </c>
      <c r="G61" s="39">
        <v>105.80645161290323</v>
      </c>
      <c r="H61" s="39">
        <v>46.687988571428576</v>
      </c>
      <c r="I61" s="39">
        <v>0.5639006652832934</v>
      </c>
    </row>
    <row r="62" spans="1:9" s="36" customFormat="1" ht="12.75" customHeight="1" hidden="1">
      <c r="A62" s="35" t="s">
        <v>116</v>
      </c>
      <c r="C62" s="36" t="s">
        <v>117</v>
      </c>
      <c r="D62" s="88"/>
      <c r="E62" s="37"/>
      <c r="F62" s="88"/>
      <c r="G62" s="39" t="e">
        <v>#DIV/0!</v>
      </c>
      <c r="H62" s="39" t="e">
        <v>#DIV/0!</v>
      </c>
      <c r="I62" s="39">
        <v>0</v>
      </c>
    </row>
    <row r="63" spans="1:9" s="31" customFormat="1" ht="12.75">
      <c r="A63" s="30">
        <v>7046</v>
      </c>
      <c r="C63" s="31" t="s">
        <v>118</v>
      </c>
      <c r="D63" s="87">
        <v>223593</v>
      </c>
      <c r="E63" s="32">
        <v>1600000</v>
      </c>
      <c r="F63" s="87">
        <v>0</v>
      </c>
      <c r="G63" s="22">
        <v>0</v>
      </c>
      <c r="H63" s="22">
        <v>0</v>
      </c>
      <c r="I63" s="22">
        <v>0</v>
      </c>
    </row>
    <row r="64" spans="1:9" s="36" customFormat="1" ht="12.75" customHeight="1">
      <c r="A64" s="35" t="s">
        <v>119</v>
      </c>
      <c r="C64" s="36" t="s">
        <v>120</v>
      </c>
      <c r="D64" s="88">
        <v>223593</v>
      </c>
      <c r="E64" s="37">
        <v>1600000</v>
      </c>
      <c r="F64" s="88">
        <v>0</v>
      </c>
      <c r="G64" s="39">
        <v>0</v>
      </c>
      <c r="H64" s="39">
        <v>0</v>
      </c>
      <c r="I64" s="39">
        <v>0</v>
      </c>
    </row>
    <row r="65" spans="1:9" s="31" customFormat="1" ht="12.75">
      <c r="A65" s="30">
        <v>7047</v>
      </c>
      <c r="C65" s="31" t="s">
        <v>121</v>
      </c>
      <c r="D65" s="87">
        <v>127789328.002859</v>
      </c>
      <c r="E65" s="32">
        <v>1067876300</v>
      </c>
      <c r="F65" s="87">
        <v>276544880.90000004</v>
      </c>
      <c r="G65" s="22">
        <v>216.40686685026856</v>
      </c>
      <c r="H65" s="22">
        <v>25.896714900405605</v>
      </c>
      <c r="I65" s="22">
        <v>4.771610952128621</v>
      </c>
    </row>
    <row r="66" spans="1:9" s="36" customFormat="1" ht="12.75" customHeight="1">
      <c r="A66" s="35" t="s">
        <v>122</v>
      </c>
      <c r="C66" s="36" t="s">
        <v>123</v>
      </c>
      <c r="D66" s="88">
        <v>74489926</v>
      </c>
      <c r="E66" s="37">
        <v>710000000</v>
      </c>
      <c r="F66" s="88">
        <v>174055436.25</v>
      </c>
      <c r="G66" s="39">
        <v>233.66305431690188</v>
      </c>
      <c r="H66" s="39">
        <v>24.51485017605634</v>
      </c>
      <c r="I66" s="39">
        <v>3.003218946541798</v>
      </c>
    </row>
    <row r="67" spans="1:9" s="36" customFormat="1" ht="12.75" customHeight="1">
      <c r="A67" s="35" t="s">
        <v>124</v>
      </c>
      <c r="C67" s="36" t="s">
        <v>125</v>
      </c>
      <c r="D67" s="88">
        <v>6111698</v>
      </c>
      <c r="E67" s="37">
        <v>16000000</v>
      </c>
      <c r="F67" s="88">
        <v>6544759.81</v>
      </c>
      <c r="G67" s="39">
        <v>107.08578548874632</v>
      </c>
      <c r="H67" s="39">
        <v>40.904748812499996</v>
      </c>
      <c r="I67" s="39">
        <v>0.11292578436749227</v>
      </c>
    </row>
    <row r="68" spans="1:9" s="36" customFormat="1" ht="12.75" customHeight="1" hidden="1">
      <c r="A68" s="35" t="s">
        <v>126</v>
      </c>
      <c r="C68" s="36" t="s">
        <v>127</v>
      </c>
      <c r="D68" s="88"/>
      <c r="E68" s="37"/>
      <c r="F68" s="88"/>
      <c r="G68" s="39" t="e">
        <v>#DIV/0!</v>
      </c>
      <c r="H68" s="39" t="e">
        <v>#DIV/0!</v>
      </c>
      <c r="I68" s="39">
        <v>0</v>
      </c>
    </row>
    <row r="69" spans="1:9" s="36" customFormat="1" ht="12.75" customHeight="1" hidden="1">
      <c r="A69" s="35" t="s">
        <v>128</v>
      </c>
      <c r="C69" s="36" t="s">
        <v>129</v>
      </c>
      <c r="D69" s="88"/>
      <c r="E69" s="37"/>
      <c r="F69" s="88"/>
      <c r="G69" s="39" t="e">
        <v>#DIV/0!</v>
      </c>
      <c r="H69" s="39" t="e">
        <v>#DIV/0!</v>
      </c>
      <c r="I69" s="39">
        <v>0</v>
      </c>
    </row>
    <row r="70" spans="1:9" s="36" customFormat="1" ht="12.75" customHeight="1">
      <c r="A70" s="35" t="s">
        <v>130</v>
      </c>
      <c r="C70" s="36" t="s">
        <v>131</v>
      </c>
      <c r="D70" s="88">
        <v>1026636</v>
      </c>
      <c r="E70" s="37">
        <v>3000000</v>
      </c>
      <c r="F70" s="88">
        <v>1411294.68</v>
      </c>
      <c r="G70" s="39">
        <v>137.46787371570838</v>
      </c>
      <c r="H70" s="39">
        <v>47.043155999999996</v>
      </c>
      <c r="I70" s="39">
        <v>0.024351017201450057</v>
      </c>
    </row>
    <row r="71" spans="1:9" s="36" customFormat="1" ht="12.75" customHeight="1" hidden="1">
      <c r="A71" s="35" t="s">
        <v>132</v>
      </c>
      <c r="C71" s="36" t="s">
        <v>133</v>
      </c>
      <c r="D71" s="88"/>
      <c r="E71" s="37"/>
      <c r="F71" s="88"/>
      <c r="G71" s="39" t="e">
        <v>#DIV/0!</v>
      </c>
      <c r="H71" s="39" t="e">
        <v>#DIV/0!</v>
      </c>
      <c r="I71" s="39">
        <v>0</v>
      </c>
    </row>
    <row r="72" spans="1:9" s="36" customFormat="1" ht="12.75" customHeight="1">
      <c r="A72" s="35" t="s">
        <v>134</v>
      </c>
      <c r="C72" s="36" t="s">
        <v>135</v>
      </c>
      <c r="D72" s="88">
        <v>3211798</v>
      </c>
      <c r="E72" s="37">
        <v>48876300</v>
      </c>
      <c r="F72" s="88">
        <v>2759063.69</v>
      </c>
      <c r="G72" s="39">
        <v>85.90402291800419</v>
      </c>
      <c r="H72" s="39">
        <v>5.644992951594126</v>
      </c>
      <c r="I72" s="39">
        <v>0.047605938240400845</v>
      </c>
    </row>
    <row r="73" spans="1:9" s="36" customFormat="1" ht="12.75" customHeight="1" hidden="1">
      <c r="A73" s="35" t="s">
        <v>136</v>
      </c>
      <c r="C73" s="36" t="s">
        <v>137</v>
      </c>
      <c r="D73" s="88"/>
      <c r="E73" s="37"/>
      <c r="F73" s="88"/>
      <c r="G73" s="39" t="e">
        <v>#DIV/0!</v>
      </c>
      <c r="H73" s="39" t="e">
        <v>#DIV/0!</v>
      </c>
      <c r="I73" s="39">
        <v>0</v>
      </c>
    </row>
    <row r="74" spans="1:9" s="36" customFormat="1" ht="12.75" customHeight="1">
      <c r="A74" s="35" t="s">
        <v>138</v>
      </c>
      <c r="C74" s="36" t="s">
        <v>139</v>
      </c>
      <c r="D74" s="88">
        <v>15978589</v>
      </c>
      <c r="E74" s="37">
        <v>48500000</v>
      </c>
      <c r="F74" s="88">
        <v>8114219</v>
      </c>
      <c r="G74" s="39">
        <v>50.78182435257581</v>
      </c>
      <c r="H74" s="39">
        <v>16.730348453608247</v>
      </c>
      <c r="I74" s="39">
        <v>0.14000583240725664</v>
      </c>
    </row>
    <row r="75" spans="1:9" s="36" customFormat="1" ht="12.75" customHeight="1">
      <c r="A75" s="35" t="s">
        <v>140</v>
      </c>
      <c r="C75" s="36" t="s">
        <v>141</v>
      </c>
      <c r="D75" s="88">
        <v>0</v>
      </c>
      <c r="E75" s="37">
        <v>1500000</v>
      </c>
      <c r="F75" s="88">
        <v>4990200</v>
      </c>
      <c r="G75" s="39"/>
      <c r="H75" s="39">
        <v>332.68</v>
      </c>
      <c r="I75" s="39">
        <v>0.08610281591841336</v>
      </c>
    </row>
    <row r="76" spans="1:9" s="36" customFormat="1" ht="12.75" customHeight="1">
      <c r="A76" s="35" t="s">
        <v>142</v>
      </c>
      <c r="C76" s="36" t="s">
        <v>143</v>
      </c>
      <c r="D76" s="88">
        <v>26970681.002859</v>
      </c>
      <c r="E76" s="37">
        <v>240000000</v>
      </c>
      <c r="F76" s="88">
        <v>78127170.61</v>
      </c>
      <c r="G76" s="39">
        <v>289.67444537910706</v>
      </c>
      <c r="H76" s="39">
        <v>32.552987754166665</v>
      </c>
      <c r="I76" s="39">
        <v>1.3480360284676574</v>
      </c>
    </row>
    <row r="77" spans="1:9" s="43" customFormat="1" ht="12.75" customHeight="1">
      <c r="A77" s="41" t="s">
        <v>144</v>
      </c>
      <c r="B77" s="42"/>
      <c r="C77" s="43" t="s">
        <v>145</v>
      </c>
      <c r="D77" s="90">
        <v>9963900</v>
      </c>
      <c r="E77" s="44">
        <v>55000000</v>
      </c>
      <c r="F77" s="90">
        <v>20000000</v>
      </c>
      <c r="G77" s="45">
        <v>200.72461586326637</v>
      </c>
      <c r="H77" s="45">
        <v>36.36363636363637</v>
      </c>
      <c r="I77" s="45">
        <v>0.3450876354391141</v>
      </c>
    </row>
    <row r="78" spans="1:9" s="43" customFormat="1" ht="11.25">
      <c r="A78" s="41" t="s">
        <v>146</v>
      </c>
      <c r="B78" s="42"/>
      <c r="C78" s="43" t="s">
        <v>147</v>
      </c>
      <c r="D78" s="90">
        <v>5978340</v>
      </c>
      <c r="E78" s="44">
        <v>135000000</v>
      </c>
      <c r="F78" s="90">
        <v>43500000</v>
      </c>
      <c r="G78" s="45">
        <v>727.6267325043407</v>
      </c>
      <c r="H78" s="45">
        <v>32.22222222222222</v>
      </c>
      <c r="I78" s="45">
        <v>0.7505656070800731</v>
      </c>
    </row>
    <row r="79" spans="1:9" s="43" customFormat="1" ht="11.25">
      <c r="A79" s="41" t="s">
        <v>148</v>
      </c>
      <c r="B79" s="42"/>
      <c r="C79" s="43" t="s">
        <v>149</v>
      </c>
      <c r="D79" s="90">
        <v>5323755.7007989995</v>
      </c>
      <c r="E79" s="44">
        <v>45000000</v>
      </c>
      <c r="F79" s="90">
        <v>5456230.61</v>
      </c>
      <c r="G79" s="45">
        <v>102.4883731832608</v>
      </c>
      <c r="H79" s="45">
        <v>12.124956911111113</v>
      </c>
      <c r="I79" s="45">
        <v>0.09414388598077077</v>
      </c>
    </row>
    <row r="80" spans="1:9" s="43" customFormat="1" ht="11.25">
      <c r="A80" s="41" t="s">
        <v>150</v>
      </c>
      <c r="B80" s="42"/>
      <c r="C80" s="43" t="s">
        <v>151</v>
      </c>
      <c r="D80" s="90">
        <v>5704685.30206</v>
      </c>
      <c r="E80" s="44">
        <v>5000000</v>
      </c>
      <c r="F80" s="90">
        <v>9170940</v>
      </c>
      <c r="G80" s="45">
        <v>160.76154098611386</v>
      </c>
      <c r="H80" s="45">
        <v>183.4188</v>
      </c>
      <c r="I80" s="45">
        <v>0.15823889996769946</v>
      </c>
    </row>
    <row r="81" spans="1:9" s="36" customFormat="1" ht="11.25">
      <c r="A81" s="35" t="s">
        <v>152</v>
      </c>
      <c r="C81" s="36" t="s">
        <v>153</v>
      </c>
      <c r="D81" s="88"/>
      <c r="E81" s="37"/>
      <c r="F81" s="88">
        <v>542736.86</v>
      </c>
      <c r="G81" s="39"/>
      <c r="H81" s="39"/>
      <c r="I81" s="39">
        <v>0.009364588984152475</v>
      </c>
    </row>
    <row r="82" spans="1:9" ht="9" customHeight="1" hidden="1">
      <c r="A82" s="28"/>
      <c r="D82" s="89"/>
      <c r="F82" s="89"/>
      <c r="G82" s="26"/>
      <c r="H82" s="26"/>
      <c r="I82" s="26">
        <v>0</v>
      </c>
    </row>
    <row r="83" spans="1:9" s="31" customFormat="1" ht="12.75" hidden="1">
      <c r="A83" s="30">
        <v>706</v>
      </c>
      <c r="C83" s="31" t="s">
        <v>154</v>
      </c>
      <c r="D83" s="87"/>
      <c r="E83" s="32"/>
      <c r="F83" s="87"/>
      <c r="G83" s="34"/>
      <c r="H83" s="34"/>
      <c r="I83" s="34">
        <v>0</v>
      </c>
    </row>
    <row r="84" spans="1:9" ht="12.75" hidden="1">
      <c r="A84" s="28">
        <v>7060</v>
      </c>
      <c r="C84" t="s">
        <v>155</v>
      </c>
      <c r="D84" s="89"/>
      <c r="F84" s="89"/>
      <c r="G84" s="26"/>
      <c r="H84" s="26"/>
      <c r="I84" s="26">
        <v>0</v>
      </c>
    </row>
    <row r="85" spans="1:9" ht="12.75">
      <c r="A85" s="28"/>
      <c r="D85" s="89"/>
      <c r="F85" s="89"/>
      <c r="G85" s="26"/>
      <c r="H85" s="26"/>
      <c r="I85" s="26"/>
    </row>
    <row r="86" spans="1:9" s="47" customFormat="1" ht="15.75">
      <c r="A86" s="46">
        <v>71</v>
      </c>
      <c r="C86" s="47" t="s">
        <v>156</v>
      </c>
      <c r="D86" s="91">
        <v>952499658</v>
      </c>
      <c r="E86" s="15">
        <v>2948975000</v>
      </c>
      <c r="F86" s="91">
        <v>1334693844.15</v>
      </c>
      <c r="G86" s="16">
        <v>140.12538828124178</v>
      </c>
      <c r="H86" s="16">
        <v>45.25958491170661</v>
      </c>
      <c r="I86" s="16">
        <v>23.02931713564325</v>
      </c>
    </row>
    <row r="87" spans="1:9" ht="12.75">
      <c r="A87" s="28"/>
      <c r="C87" s="29" t="s">
        <v>157</v>
      </c>
      <c r="D87" s="89"/>
      <c r="F87" s="89"/>
      <c r="G87" s="26"/>
      <c r="H87" s="26"/>
      <c r="I87" s="26"/>
    </row>
    <row r="88" spans="1:9" ht="12.75" customHeight="1">
      <c r="A88" s="28"/>
      <c r="D88" s="89"/>
      <c r="F88" s="89"/>
      <c r="G88" s="26"/>
      <c r="H88" s="26"/>
      <c r="I88" s="26"/>
    </row>
    <row r="89" spans="1:9" s="31" customFormat="1" ht="12.75">
      <c r="A89" s="30">
        <v>710</v>
      </c>
      <c r="C89" s="31" t="s">
        <v>158</v>
      </c>
      <c r="D89" s="87">
        <v>671014163</v>
      </c>
      <c r="E89" s="32">
        <v>1787875000</v>
      </c>
      <c r="F89" s="87">
        <v>889829543.5800002</v>
      </c>
      <c r="G89" s="22">
        <v>132.60965157601302</v>
      </c>
      <c r="H89" s="22">
        <v>49.77023245920437</v>
      </c>
      <c r="I89" s="22">
        <v>15.35345865689442</v>
      </c>
    </row>
    <row r="90" spans="1:9" s="31" customFormat="1" ht="12.75">
      <c r="A90" s="30"/>
      <c r="C90" s="31" t="s">
        <v>159</v>
      </c>
      <c r="D90" s="87"/>
      <c r="E90" s="32"/>
      <c r="F90" s="87"/>
      <c r="G90" s="34"/>
      <c r="H90" s="34"/>
      <c r="I90" s="34">
        <v>0</v>
      </c>
    </row>
    <row r="91" spans="1:9" s="31" customFormat="1" ht="12.75">
      <c r="A91" s="30">
        <v>7100</v>
      </c>
      <c r="C91" s="31" t="s">
        <v>160</v>
      </c>
      <c r="D91" s="87">
        <v>14272244</v>
      </c>
      <c r="E91" s="32">
        <v>20000000</v>
      </c>
      <c r="F91" s="87">
        <v>0</v>
      </c>
      <c r="G91" s="22">
        <v>0</v>
      </c>
      <c r="H91" s="22">
        <v>0</v>
      </c>
      <c r="I91" s="22">
        <v>0</v>
      </c>
    </row>
    <row r="92" spans="1:9" s="36" customFormat="1" ht="12.75" customHeight="1">
      <c r="A92" s="8">
        <v>710000</v>
      </c>
      <c r="C92" s="36" t="s">
        <v>161</v>
      </c>
      <c r="D92" s="88">
        <v>14272244</v>
      </c>
      <c r="E92" s="37">
        <v>20000000</v>
      </c>
      <c r="F92" s="88">
        <v>0</v>
      </c>
      <c r="G92" s="39">
        <v>0</v>
      </c>
      <c r="H92" s="39">
        <v>0</v>
      </c>
      <c r="I92" s="39">
        <v>0</v>
      </c>
    </row>
    <row r="93" spans="1:9" s="43" customFormat="1" ht="12.75" customHeight="1" hidden="1">
      <c r="A93" s="41" t="s">
        <v>162</v>
      </c>
      <c r="B93" s="42"/>
      <c r="C93" s="43" t="s">
        <v>163</v>
      </c>
      <c r="D93" s="90"/>
      <c r="E93" s="44"/>
      <c r="F93" s="90"/>
      <c r="G93" s="45" t="e">
        <v>#DIV/0!</v>
      </c>
      <c r="H93" s="45" t="e">
        <v>#DIV/0!</v>
      </c>
      <c r="I93" s="45">
        <v>0</v>
      </c>
    </row>
    <row r="94" spans="1:9" s="43" customFormat="1" ht="11.25">
      <c r="A94" s="41" t="s">
        <v>164</v>
      </c>
      <c r="B94" s="42"/>
      <c r="C94" s="43" t="s">
        <v>165</v>
      </c>
      <c r="D94" s="90"/>
      <c r="E94" s="44">
        <v>20000000</v>
      </c>
      <c r="F94" s="90">
        <v>0</v>
      </c>
      <c r="G94" s="45"/>
      <c r="H94" s="45">
        <v>0</v>
      </c>
      <c r="I94" s="45">
        <v>0</v>
      </c>
    </row>
    <row r="95" spans="1:9" s="43" customFormat="1" ht="11.25" hidden="1">
      <c r="A95" s="41" t="s">
        <v>166</v>
      </c>
      <c r="B95" s="42"/>
      <c r="C95" s="43" t="s">
        <v>167</v>
      </c>
      <c r="D95" s="90">
        <v>14272244</v>
      </c>
      <c r="E95" s="44"/>
      <c r="F95" s="90"/>
      <c r="G95" s="45">
        <v>0</v>
      </c>
      <c r="H95" s="45" t="e">
        <v>#DIV/0!</v>
      </c>
      <c r="I95" s="45">
        <v>0</v>
      </c>
    </row>
    <row r="96" spans="1:9" s="43" customFormat="1" ht="11.25" hidden="1">
      <c r="A96" s="41" t="s">
        <v>168</v>
      </c>
      <c r="B96" s="42"/>
      <c r="C96" s="43" t="s">
        <v>169</v>
      </c>
      <c r="D96" s="90"/>
      <c r="E96" s="44"/>
      <c r="F96" s="90"/>
      <c r="G96" s="45" t="e">
        <v>#DIV/0!</v>
      </c>
      <c r="H96" s="45" t="e">
        <v>#DIV/0!</v>
      </c>
      <c r="I96" s="45">
        <v>0</v>
      </c>
    </row>
    <row r="97" spans="1:9" s="31" customFormat="1" ht="12.75">
      <c r="A97" s="30">
        <v>7101</v>
      </c>
      <c r="C97" s="31" t="s">
        <v>170</v>
      </c>
      <c r="D97" s="87">
        <v>15046580</v>
      </c>
      <c r="E97" s="32">
        <v>30000000</v>
      </c>
      <c r="F97" s="87">
        <v>29072800.5</v>
      </c>
      <c r="G97" s="22">
        <v>193.21866164935818</v>
      </c>
      <c r="H97" s="22">
        <v>96.909335</v>
      </c>
      <c r="I97" s="22">
        <v>0.5016331990069047</v>
      </c>
    </row>
    <row r="98" spans="1:9" s="36" customFormat="1" ht="12.75" customHeight="1">
      <c r="A98" s="35" t="s">
        <v>171</v>
      </c>
      <c r="C98" s="36" t="s">
        <v>172</v>
      </c>
      <c r="D98" s="88">
        <v>15046580</v>
      </c>
      <c r="E98" s="37">
        <v>30000000</v>
      </c>
      <c r="F98" s="88">
        <v>29072800.5</v>
      </c>
      <c r="G98" s="39">
        <v>193.21866164935818</v>
      </c>
      <c r="H98" s="39">
        <v>96.909335</v>
      </c>
      <c r="I98" s="39">
        <v>0.5016331990069047</v>
      </c>
    </row>
    <row r="99" spans="1:9" s="43" customFormat="1" ht="12.75" customHeight="1">
      <c r="A99" s="41" t="s">
        <v>173</v>
      </c>
      <c r="B99" s="42"/>
      <c r="C99" s="43" t="s">
        <v>147</v>
      </c>
      <c r="D99" s="90">
        <v>15046580</v>
      </c>
      <c r="E99" s="44">
        <v>15000000</v>
      </c>
      <c r="F99" s="90">
        <v>0</v>
      </c>
      <c r="G99" s="45">
        <v>0</v>
      </c>
      <c r="H99" s="45">
        <v>0</v>
      </c>
      <c r="I99" s="45">
        <v>0</v>
      </c>
    </row>
    <row r="100" spans="1:9" s="43" customFormat="1" ht="11.25">
      <c r="A100" s="41" t="s">
        <v>174</v>
      </c>
      <c r="B100" s="42"/>
      <c r="C100" s="43" t="s">
        <v>149</v>
      </c>
      <c r="D100" s="90"/>
      <c r="E100" s="44">
        <v>15000000</v>
      </c>
      <c r="F100" s="90">
        <v>27080997.3</v>
      </c>
      <c r="G100" s="45"/>
      <c r="H100" s="45">
        <v>180.539982</v>
      </c>
      <c r="I100" s="45">
        <v>0.46726586617950167</v>
      </c>
    </row>
    <row r="101" spans="1:9" s="43" customFormat="1" ht="11.25" hidden="1">
      <c r="A101" s="41" t="s">
        <v>175</v>
      </c>
      <c r="B101" s="42"/>
      <c r="C101" s="43" t="s">
        <v>145</v>
      </c>
      <c r="D101" s="90"/>
      <c r="E101" s="44"/>
      <c r="F101" s="90"/>
      <c r="G101" s="45"/>
      <c r="H101" s="45" t="e">
        <v>#DIV/0!</v>
      </c>
      <c r="I101" s="45">
        <v>0</v>
      </c>
    </row>
    <row r="102" spans="1:9" s="43" customFormat="1" ht="11.25" hidden="1">
      <c r="A102" s="41" t="s">
        <v>176</v>
      </c>
      <c r="B102" s="42"/>
      <c r="C102" s="43" t="s">
        <v>177</v>
      </c>
      <c r="D102" s="90"/>
      <c r="E102" s="44"/>
      <c r="F102" s="90"/>
      <c r="G102" s="45"/>
      <c r="H102" s="45" t="e">
        <v>#DIV/0!</v>
      </c>
      <c r="I102" s="45">
        <v>0</v>
      </c>
    </row>
    <row r="103" spans="1:9" s="43" customFormat="1" ht="11.25" hidden="1">
      <c r="A103" s="41" t="s">
        <v>178</v>
      </c>
      <c r="B103" s="42"/>
      <c r="C103" s="43" t="s">
        <v>179</v>
      </c>
      <c r="D103" s="90"/>
      <c r="E103" s="44"/>
      <c r="F103" s="90"/>
      <c r="G103" s="45"/>
      <c r="H103" s="45" t="e">
        <v>#DIV/0!</v>
      </c>
      <c r="I103" s="45">
        <v>0</v>
      </c>
    </row>
    <row r="104" spans="1:9" s="43" customFormat="1" ht="11.25" hidden="1">
      <c r="A104" s="41" t="s">
        <v>180</v>
      </c>
      <c r="B104" s="42"/>
      <c r="C104" s="43" t="s">
        <v>181</v>
      </c>
      <c r="D104" s="90"/>
      <c r="E104" s="44"/>
      <c r="F104" s="90"/>
      <c r="G104" s="45"/>
      <c r="H104" s="45" t="e">
        <v>#DIV/0!</v>
      </c>
      <c r="I104" s="45">
        <v>0</v>
      </c>
    </row>
    <row r="105" spans="1:9" s="43" customFormat="1" ht="11.25" hidden="1">
      <c r="A105" s="41" t="s">
        <v>182</v>
      </c>
      <c r="B105" s="42"/>
      <c r="C105" s="43" t="s">
        <v>183</v>
      </c>
      <c r="D105" s="90"/>
      <c r="E105" s="44"/>
      <c r="F105" s="90"/>
      <c r="G105" s="45"/>
      <c r="H105" s="45" t="e">
        <v>#DIV/0!</v>
      </c>
      <c r="I105" s="45">
        <v>0</v>
      </c>
    </row>
    <row r="106" spans="1:9" s="43" customFormat="1" ht="11.25">
      <c r="A106" s="41" t="s">
        <v>184</v>
      </c>
      <c r="B106" s="42"/>
      <c r="C106" s="43" t="s">
        <v>185</v>
      </c>
      <c r="D106" s="90"/>
      <c r="E106" s="44"/>
      <c r="F106" s="90">
        <v>958883.2</v>
      </c>
      <c r="G106" s="45"/>
      <c r="H106" s="45"/>
      <c r="I106" s="45">
        <v>0.016544936807514555</v>
      </c>
    </row>
    <row r="107" spans="1:9" s="43" customFormat="1" ht="11.25">
      <c r="A107" s="41" t="s">
        <v>584</v>
      </c>
      <c r="B107" s="42"/>
      <c r="C107" s="43" t="s">
        <v>586</v>
      </c>
      <c r="D107" s="90"/>
      <c r="E107" s="44"/>
      <c r="F107" s="90">
        <v>1032920</v>
      </c>
      <c r="G107" s="45"/>
      <c r="H107" s="45"/>
      <c r="I107" s="45">
        <v>0.017822396019888487</v>
      </c>
    </row>
    <row r="108" spans="1:9" s="31" customFormat="1" ht="12.75">
      <c r="A108" s="30">
        <v>7102</v>
      </c>
      <c r="C108" s="31" t="s">
        <v>186</v>
      </c>
      <c r="D108" s="87">
        <v>31396055</v>
      </c>
      <c r="E108" s="32">
        <v>138000000</v>
      </c>
      <c r="F108" s="87">
        <v>169465709.34</v>
      </c>
      <c r="G108" s="22">
        <v>539.7675260156093</v>
      </c>
      <c r="H108" s="22">
        <v>122.80123865217392</v>
      </c>
      <c r="I108" s="22">
        <v>2.9240260462076395</v>
      </c>
    </row>
    <row r="109" spans="1:9" s="36" customFormat="1" ht="12.75" customHeight="1">
      <c r="A109" s="35" t="s">
        <v>187</v>
      </c>
      <c r="C109" s="36" t="s">
        <v>188</v>
      </c>
      <c r="D109" s="88"/>
      <c r="E109" s="37">
        <v>1000000</v>
      </c>
      <c r="F109" s="88">
        <v>608757.04</v>
      </c>
      <c r="G109" s="39"/>
      <c r="H109" s="39">
        <v>60.875704000000006</v>
      </c>
      <c r="I109" s="39">
        <v>0.01050372637452571</v>
      </c>
    </row>
    <row r="110" spans="1:9" s="36" customFormat="1" ht="12.75" customHeight="1">
      <c r="A110" s="35" t="s">
        <v>189</v>
      </c>
      <c r="C110" s="36" t="s">
        <v>190</v>
      </c>
      <c r="D110" s="88">
        <v>31396055</v>
      </c>
      <c r="E110" s="37">
        <v>108000000</v>
      </c>
      <c r="F110" s="88">
        <v>168856952.3</v>
      </c>
      <c r="G110" s="39">
        <v>537.828565722668</v>
      </c>
      <c r="H110" s="39">
        <v>156.3490299074074</v>
      </c>
      <c r="I110" s="39">
        <v>2.913522319833114</v>
      </c>
    </row>
    <row r="111" spans="1:9" s="36" customFormat="1" ht="12.75" customHeight="1">
      <c r="A111" s="35" t="s">
        <v>602</v>
      </c>
      <c r="C111" s="36" t="s">
        <v>601</v>
      </c>
      <c r="D111" s="88"/>
      <c r="E111" s="37">
        <v>29000000</v>
      </c>
      <c r="F111" s="88">
        <v>0</v>
      </c>
      <c r="G111" s="39"/>
      <c r="H111" s="39">
        <v>0</v>
      </c>
      <c r="I111" s="39">
        <v>0</v>
      </c>
    </row>
    <row r="112" spans="1:9" s="36" customFormat="1" ht="12.75" customHeight="1" hidden="1">
      <c r="A112" s="35">
        <v>710210</v>
      </c>
      <c r="C112" s="36" t="s">
        <v>191</v>
      </c>
      <c r="D112" s="88"/>
      <c r="E112" s="37"/>
      <c r="F112" s="88"/>
      <c r="G112" s="39" t="e">
        <v>#DIV/0!</v>
      </c>
      <c r="H112" s="39" t="e">
        <v>#DIV/0!</v>
      </c>
      <c r="I112" s="39">
        <v>0</v>
      </c>
    </row>
    <row r="113" spans="1:9" s="31" customFormat="1" ht="12.75">
      <c r="A113" s="30">
        <v>7103</v>
      </c>
      <c r="C113" s="31" t="s">
        <v>192</v>
      </c>
      <c r="D113" s="87">
        <v>610299284</v>
      </c>
      <c r="E113" s="32">
        <v>1599875000</v>
      </c>
      <c r="F113" s="87">
        <v>691291033.7400001</v>
      </c>
      <c r="G113" s="34">
        <v>113.27082496462508</v>
      </c>
      <c r="H113" s="34">
        <v>43.2090653169779</v>
      </c>
      <c r="I113" s="34">
        <v>11.927799411679874</v>
      </c>
    </row>
    <row r="114" spans="1:9" s="36" customFormat="1" ht="12.75" customHeight="1">
      <c r="A114" s="35" t="s">
        <v>193</v>
      </c>
      <c r="C114" s="36" t="s">
        <v>194</v>
      </c>
      <c r="D114" s="88">
        <v>221724723</v>
      </c>
      <c r="E114" s="37">
        <v>493000000</v>
      </c>
      <c r="F114" s="88">
        <v>248687001.43</v>
      </c>
      <c r="G114" s="39">
        <v>112.16024900840671</v>
      </c>
      <c r="H114" s="39">
        <v>50.443610837728194</v>
      </c>
      <c r="I114" s="39">
        <v>4.290940464396114</v>
      </c>
    </row>
    <row r="115" spans="1:9" s="36" customFormat="1" ht="12.75" customHeight="1">
      <c r="A115" s="35" t="s">
        <v>195</v>
      </c>
      <c r="C115" s="36" t="s">
        <v>196</v>
      </c>
      <c r="D115" s="88">
        <v>171112060</v>
      </c>
      <c r="E115" s="37">
        <v>407000000</v>
      </c>
      <c r="F115" s="88">
        <v>188304458.52</v>
      </c>
      <c r="G115" s="39">
        <v>110.04744991089466</v>
      </c>
      <c r="H115" s="39">
        <v>46.266451724815724</v>
      </c>
      <c r="I115" s="39">
        <v>3.2490770166654777</v>
      </c>
    </row>
    <row r="116" spans="1:9" s="36" customFormat="1" ht="12.75" customHeight="1">
      <c r="A116" s="35" t="s">
        <v>197</v>
      </c>
      <c r="C116" s="36" t="s">
        <v>198</v>
      </c>
      <c r="D116" s="88">
        <v>120595229</v>
      </c>
      <c r="E116" s="37">
        <v>466340000</v>
      </c>
      <c r="F116" s="88">
        <v>125898111.71</v>
      </c>
      <c r="G116" s="39">
        <v>104.39725746530155</v>
      </c>
      <c r="H116" s="39">
        <v>26.997064740318223</v>
      </c>
      <c r="I116" s="39">
        <v>2.172294083812667</v>
      </c>
    </row>
    <row r="117" spans="1:9" s="43" customFormat="1" ht="12.75" customHeight="1">
      <c r="A117" s="41" t="s">
        <v>199</v>
      </c>
      <c r="B117" s="42"/>
      <c r="C117" s="43" t="s">
        <v>200</v>
      </c>
      <c r="D117" s="90">
        <v>51826541</v>
      </c>
      <c r="E117" s="44">
        <v>220000000</v>
      </c>
      <c r="F117" s="90">
        <v>63008292.49</v>
      </c>
      <c r="G117" s="45">
        <v>121.57533818434845</v>
      </c>
      <c r="H117" s="45">
        <v>28.64013295</v>
      </c>
      <c r="I117" s="45">
        <v>1.0871691334215097</v>
      </c>
    </row>
    <row r="118" spans="1:9" s="43" customFormat="1" ht="11.25">
      <c r="A118" s="41" t="s">
        <v>201</v>
      </c>
      <c r="B118" s="42"/>
      <c r="C118" s="43" t="s">
        <v>202</v>
      </c>
      <c r="D118" s="90">
        <v>7988513</v>
      </c>
      <c r="E118" s="44">
        <v>10000000</v>
      </c>
      <c r="F118" s="90">
        <v>3559256.69</v>
      </c>
      <c r="G118" s="45">
        <v>44.55468358128728</v>
      </c>
      <c r="H118" s="45">
        <v>35.5925669</v>
      </c>
      <c r="I118" s="45">
        <v>0.0614127737536474</v>
      </c>
    </row>
    <row r="119" spans="1:9" s="43" customFormat="1" ht="11.25">
      <c r="A119" s="41" t="s">
        <v>203</v>
      </c>
      <c r="B119" s="42"/>
      <c r="C119" s="43" t="s">
        <v>204</v>
      </c>
      <c r="D119" s="90">
        <v>24233317</v>
      </c>
      <c r="E119" s="44">
        <v>8500000</v>
      </c>
      <c r="F119" s="90">
        <v>4057368.18</v>
      </c>
      <c r="G119" s="45">
        <v>16.742933623160212</v>
      </c>
      <c r="H119" s="45">
        <v>47.733743294117644</v>
      </c>
      <c r="I119" s="45">
        <v>0.0700073795671051</v>
      </c>
    </row>
    <row r="120" spans="1:9" s="43" customFormat="1" ht="11.25">
      <c r="A120" s="41" t="s">
        <v>205</v>
      </c>
      <c r="B120" s="42"/>
      <c r="C120" s="43" t="s">
        <v>206</v>
      </c>
      <c r="D120" s="90"/>
      <c r="E120" s="44">
        <v>36100000</v>
      </c>
      <c r="F120" s="90">
        <v>6041751.21</v>
      </c>
      <c r="G120" s="45"/>
      <c r="H120" s="45">
        <v>16.736152936288086</v>
      </c>
      <c r="I120" s="45">
        <v>0.10424668194851533</v>
      </c>
    </row>
    <row r="121" spans="1:9" s="43" customFormat="1" ht="11.25">
      <c r="A121" s="41" t="s">
        <v>207</v>
      </c>
      <c r="B121" s="42"/>
      <c r="C121" s="43" t="s">
        <v>208</v>
      </c>
      <c r="D121" s="90">
        <v>39846</v>
      </c>
      <c r="E121" s="44">
        <v>2500000</v>
      </c>
      <c r="F121" s="90">
        <v>342050</v>
      </c>
      <c r="G121" s="45">
        <v>858.4299553280129</v>
      </c>
      <c r="H121" s="45">
        <v>13.682</v>
      </c>
      <c r="I121" s="45">
        <v>0.005901861285097449</v>
      </c>
    </row>
    <row r="122" spans="1:9" s="43" customFormat="1" ht="11.25">
      <c r="A122" s="41" t="s">
        <v>209</v>
      </c>
      <c r="B122" s="42"/>
      <c r="C122" s="43" t="s">
        <v>210</v>
      </c>
      <c r="D122" s="90">
        <v>35991747</v>
      </c>
      <c r="E122" s="44">
        <v>58400000</v>
      </c>
      <c r="F122" s="90">
        <v>47959393.14</v>
      </c>
      <c r="G122" s="45">
        <v>133.25108431107833</v>
      </c>
      <c r="H122" s="45">
        <v>82.12224852739726</v>
      </c>
      <c r="I122" s="45">
        <v>0.8275096787888734</v>
      </c>
    </row>
    <row r="123" spans="1:9" s="43" customFormat="1" ht="11.25">
      <c r="A123" s="41" t="s">
        <v>211</v>
      </c>
      <c r="B123" s="42"/>
      <c r="C123" s="43" t="s">
        <v>212</v>
      </c>
      <c r="D123" s="90"/>
      <c r="E123" s="44">
        <v>130240000</v>
      </c>
      <c r="F123" s="90">
        <v>0</v>
      </c>
      <c r="G123" s="45"/>
      <c r="H123" s="45">
        <v>0</v>
      </c>
      <c r="I123" s="45">
        <v>0</v>
      </c>
    </row>
    <row r="124" spans="1:9" s="43" customFormat="1" ht="11.25">
      <c r="A124" s="41" t="s">
        <v>213</v>
      </c>
      <c r="B124" s="42"/>
      <c r="C124" s="43" t="s">
        <v>214</v>
      </c>
      <c r="D124" s="90">
        <v>515265</v>
      </c>
      <c r="E124" s="44">
        <v>600000</v>
      </c>
      <c r="F124" s="90">
        <v>930000</v>
      </c>
      <c r="G124" s="45">
        <v>180.48965095630405</v>
      </c>
      <c r="H124" s="45">
        <v>155</v>
      </c>
      <c r="I124" s="45">
        <v>0.016046575047918805</v>
      </c>
    </row>
    <row r="125" spans="1:9" s="43" customFormat="1" ht="11.25" hidden="1">
      <c r="A125" s="41" t="s">
        <v>215</v>
      </c>
      <c r="B125" s="42"/>
      <c r="C125" s="43" t="s">
        <v>216</v>
      </c>
      <c r="D125" s="90"/>
      <c r="E125" s="44"/>
      <c r="F125" s="90"/>
      <c r="G125" s="45" t="e">
        <v>#DIV/0!</v>
      </c>
      <c r="H125" s="45"/>
      <c r="I125" s="45">
        <v>0</v>
      </c>
    </row>
    <row r="126" spans="1:9" s="43" customFormat="1" ht="11.25" hidden="1">
      <c r="A126" s="41" t="s">
        <v>217</v>
      </c>
      <c r="B126" s="42"/>
      <c r="C126" s="43" t="s">
        <v>218</v>
      </c>
      <c r="D126" s="90"/>
      <c r="E126" s="44"/>
      <c r="F126" s="90"/>
      <c r="G126" s="39" t="e">
        <v>#DIV/0!</v>
      </c>
      <c r="H126" s="39" t="e">
        <v>#DIV/0!</v>
      </c>
      <c r="I126" s="39">
        <v>0</v>
      </c>
    </row>
    <row r="127" spans="1:9" s="43" customFormat="1" ht="11.25" hidden="1">
      <c r="A127" s="41" t="s">
        <v>219</v>
      </c>
      <c r="B127" s="42"/>
      <c r="C127" s="43" t="s">
        <v>587</v>
      </c>
      <c r="D127" s="90"/>
      <c r="E127" s="44"/>
      <c r="F127" s="90"/>
      <c r="G127" s="39" t="e">
        <v>#DIV/0!</v>
      </c>
      <c r="H127" s="39"/>
      <c r="I127" s="39">
        <v>0</v>
      </c>
    </row>
    <row r="128" spans="1:9" s="36" customFormat="1" ht="12.75" customHeight="1">
      <c r="A128" s="35" t="s">
        <v>220</v>
      </c>
      <c r="C128" s="36" t="s">
        <v>221</v>
      </c>
      <c r="D128" s="88"/>
      <c r="E128" s="37">
        <v>13800000</v>
      </c>
      <c r="F128" s="88">
        <v>3891543.02</v>
      </c>
      <c r="G128" s="39"/>
      <c r="H128" s="39">
        <v>28.199587101449275</v>
      </c>
      <c r="I128" s="39">
        <v>0.06714616894906945</v>
      </c>
    </row>
    <row r="129" spans="1:9" s="36" customFormat="1" ht="12.75" customHeight="1">
      <c r="A129" s="35" t="s">
        <v>222</v>
      </c>
      <c r="C129" s="36" t="s">
        <v>223</v>
      </c>
      <c r="D129" s="88">
        <v>70667209</v>
      </c>
      <c r="E129" s="37">
        <v>112600000</v>
      </c>
      <c r="F129" s="88">
        <v>68553233.11</v>
      </c>
      <c r="G129" s="39">
        <v>97.00854764194806</v>
      </c>
      <c r="H129" s="39">
        <v>60.88208979573713</v>
      </c>
      <c r="I129" s="39">
        <v>1.1828436557818143</v>
      </c>
    </row>
    <row r="130" spans="1:9" s="43" customFormat="1" ht="12.75" customHeight="1" hidden="1">
      <c r="A130" s="41" t="s">
        <v>224</v>
      </c>
      <c r="B130" s="42"/>
      <c r="C130" s="43" t="s">
        <v>225</v>
      </c>
      <c r="D130" s="90"/>
      <c r="E130" s="44"/>
      <c r="F130" s="90"/>
      <c r="G130" s="39" t="e">
        <v>#DIV/0!</v>
      </c>
      <c r="H130" s="39" t="e">
        <v>#DIV/0!</v>
      </c>
      <c r="I130" s="39">
        <v>0</v>
      </c>
    </row>
    <row r="131" spans="1:9" s="43" customFormat="1" ht="11.25" hidden="1">
      <c r="A131" s="41" t="s">
        <v>224</v>
      </c>
      <c r="B131" s="42"/>
      <c r="C131" s="43" t="s">
        <v>227</v>
      </c>
      <c r="D131" s="90"/>
      <c r="E131" s="44"/>
      <c r="F131" s="90"/>
      <c r="G131" s="39" t="e">
        <v>#DIV/0!</v>
      </c>
      <c r="H131" s="39" t="e">
        <v>#DIV/0!</v>
      </c>
      <c r="I131" s="39">
        <v>0</v>
      </c>
    </row>
    <row r="132" spans="1:9" s="43" customFormat="1" ht="11.25">
      <c r="A132" s="41" t="s">
        <v>226</v>
      </c>
      <c r="B132" s="42"/>
      <c r="C132" s="43" t="s">
        <v>229</v>
      </c>
      <c r="D132" s="90">
        <v>41822262</v>
      </c>
      <c r="E132" s="37">
        <v>55000000</v>
      </c>
      <c r="F132" s="90">
        <v>43709061.5</v>
      </c>
      <c r="G132" s="45">
        <v>104.5114716654972</v>
      </c>
      <c r="H132" s="45">
        <v>79.47102090909091</v>
      </c>
      <c r="I132" s="45">
        <v>0.7541728340148909</v>
      </c>
    </row>
    <row r="133" spans="1:9" s="43" customFormat="1" ht="11.25">
      <c r="A133" s="41" t="s">
        <v>228</v>
      </c>
      <c r="B133" s="42"/>
      <c r="C133" s="43" t="s">
        <v>231</v>
      </c>
      <c r="D133" s="90">
        <v>1614398.6</v>
      </c>
      <c r="E133" s="37">
        <v>6000000</v>
      </c>
      <c r="F133" s="90">
        <v>2482130</v>
      </c>
      <c r="G133" s="45">
        <v>153.7495139056736</v>
      </c>
      <c r="H133" s="45">
        <v>41.368833333333335</v>
      </c>
      <c r="I133" s="45">
        <v>0.04282761862762441</v>
      </c>
    </row>
    <row r="134" spans="1:9" s="43" customFormat="1" ht="11.25">
      <c r="A134" s="41" t="s">
        <v>230</v>
      </c>
      <c r="B134" s="42"/>
      <c r="C134" s="43" t="s">
        <v>233</v>
      </c>
      <c r="D134" s="90">
        <v>19846967.6</v>
      </c>
      <c r="E134" s="44">
        <v>37100000</v>
      </c>
      <c r="F134" s="90">
        <v>16847472.51</v>
      </c>
      <c r="G134" s="45">
        <v>84.88688473497584</v>
      </c>
      <c r="H134" s="45">
        <v>45.410977115902966</v>
      </c>
      <c r="I134" s="45">
        <v>0.29069272258006884</v>
      </c>
    </row>
    <row r="135" spans="1:9" s="43" customFormat="1" ht="11.25">
      <c r="A135" s="41" t="s">
        <v>232</v>
      </c>
      <c r="B135" s="42"/>
      <c r="C135" s="43" t="s">
        <v>235</v>
      </c>
      <c r="D135" s="90">
        <v>5263424</v>
      </c>
      <c r="E135" s="44">
        <v>8500000</v>
      </c>
      <c r="F135" s="90">
        <v>4626977.1</v>
      </c>
      <c r="G135" s="45">
        <v>87.90812026543936</v>
      </c>
      <c r="H135" s="45">
        <v>54.43502470588235</v>
      </c>
      <c r="I135" s="45">
        <v>0.07983562933349646</v>
      </c>
    </row>
    <row r="136" spans="1:9" s="43" customFormat="1" ht="11.25" hidden="1">
      <c r="A136" s="41" t="s">
        <v>234</v>
      </c>
      <c r="B136" s="42"/>
      <c r="C136" s="43" t="s">
        <v>237</v>
      </c>
      <c r="D136" s="90"/>
      <c r="E136" s="44"/>
      <c r="F136" s="90"/>
      <c r="G136" s="45" t="e">
        <v>#DIV/0!</v>
      </c>
      <c r="H136" s="45" t="e">
        <v>#DIV/0!</v>
      </c>
      <c r="I136" s="45">
        <v>0</v>
      </c>
    </row>
    <row r="137" spans="1:9" s="43" customFormat="1" ht="11.25">
      <c r="A137" s="41" t="s">
        <v>236</v>
      </c>
      <c r="B137" s="42"/>
      <c r="C137" s="43" t="s">
        <v>238</v>
      </c>
      <c r="D137" s="90">
        <v>2120156.8</v>
      </c>
      <c r="E137" s="44">
        <v>6000000</v>
      </c>
      <c r="F137" s="90">
        <v>887592</v>
      </c>
      <c r="G137" s="45">
        <v>41.864450780244184</v>
      </c>
      <c r="H137" s="45">
        <v>14.7932</v>
      </c>
      <c r="I137" s="45">
        <v>0.015314851225733709</v>
      </c>
    </row>
    <row r="138" spans="1:9" s="43" customFormat="1" ht="11.25" hidden="1">
      <c r="A138" s="41" t="s">
        <v>239</v>
      </c>
      <c r="B138" s="42"/>
      <c r="C138" s="43" t="s">
        <v>240</v>
      </c>
      <c r="D138" s="90"/>
      <c r="E138" s="44"/>
      <c r="F138" s="90"/>
      <c r="G138" s="45" t="e">
        <v>#DIV/0!</v>
      </c>
      <c r="H138" s="45" t="e">
        <v>#DIV/0!</v>
      </c>
      <c r="I138" s="45">
        <v>0</v>
      </c>
    </row>
    <row r="139" spans="1:9" s="43" customFormat="1" ht="11.25" hidden="1">
      <c r="A139" s="41" t="s">
        <v>241</v>
      </c>
      <c r="B139" s="42"/>
      <c r="C139" s="43" t="s">
        <v>242</v>
      </c>
      <c r="D139" s="90"/>
      <c r="E139" s="44"/>
      <c r="F139" s="90"/>
      <c r="G139" s="45" t="e">
        <v>#DIV/0!</v>
      </c>
      <c r="H139" s="45" t="e">
        <v>#DIV/0!</v>
      </c>
      <c r="I139" s="45">
        <v>0</v>
      </c>
    </row>
    <row r="140" spans="1:9" s="43" customFormat="1" ht="11.25" hidden="1">
      <c r="A140" s="41" t="s">
        <v>243</v>
      </c>
      <c r="B140" s="42"/>
      <c r="C140" s="43" t="s">
        <v>244</v>
      </c>
      <c r="D140" s="90"/>
      <c r="E140" s="44"/>
      <c r="F140" s="90"/>
      <c r="G140" s="45" t="e">
        <v>#DIV/0!</v>
      </c>
      <c r="H140" s="45" t="e">
        <v>#DIV/0!</v>
      </c>
      <c r="I140" s="45">
        <v>0</v>
      </c>
    </row>
    <row r="141" spans="1:9" s="36" customFormat="1" ht="12.75" customHeight="1" hidden="1">
      <c r="A141" s="35">
        <v>710309</v>
      </c>
      <c r="B141" s="48"/>
      <c r="C141" s="36" t="s">
        <v>245</v>
      </c>
      <c r="D141" s="88"/>
      <c r="E141" s="44"/>
      <c r="F141" s="88"/>
      <c r="G141" s="39" t="e">
        <v>#DIV/0!</v>
      </c>
      <c r="H141" s="39" t="e">
        <v>#DIV/0!</v>
      </c>
      <c r="I141" s="39">
        <v>0</v>
      </c>
    </row>
    <row r="142" spans="1:9" s="36" customFormat="1" ht="12.75" customHeight="1" hidden="1">
      <c r="A142" s="35">
        <v>710310</v>
      </c>
      <c r="B142" s="48"/>
      <c r="C142" s="36" t="s">
        <v>246</v>
      </c>
      <c r="D142" s="88"/>
      <c r="E142" s="44"/>
      <c r="F142" s="88"/>
      <c r="G142" s="39" t="e">
        <v>#DIV/0!</v>
      </c>
      <c r="H142" s="39" t="e">
        <v>#DIV/0!</v>
      </c>
      <c r="I142" s="39">
        <v>0</v>
      </c>
    </row>
    <row r="143" spans="1:9" s="36" customFormat="1" ht="12.75" customHeight="1">
      <c r="A143" s="35" t="s">
        <v>247</v>
      </c>
      <c r="C143" s="36" t="s">
        <v>248</v>
      </c>
      <c r="D143" s="88">
        <v>26200063</v>
      </c>
      <c r="E143" s="37">
        <v>107135000</v>
      </c>
      <c r="F143" s="88">
        <v>55956685.95</v>
      </c>
      <c r="G143" s="39">
        <v>213.57462365643931</v>
      </c>
      <c r="H143" s="39">
        <v>52.23007042516451</v>
      </c>
      <c r="I143" s="39">
        <v>0.9654980220747299</v>
      </c>
    </row>
    <row r="144" spans="1:9" s="51" customFormat="1" ht="12.75" customHeight="1">
      <c r="A144" s="49" t="s">
        <v>249</v>
      </c>
      <c r="B144" s="50"/>
      <c r="C144" s="51" t="s">
        <v>250</v>
      </c>
      <c r="D144" s="92">
        <v>22737608</v>
      </c>
      <c r="E144" s="52">
        <v>85000000</v>
      </c>
      <c r="F144" s="92">
        <v>47264280.67</v>
      </c>
      <c r="G144" s="45">
        <v>207.86830641991892</v>
      </c>
      <c r="H144" s="45">
        <v>55.605036082352946</v>
      </c>
      <c r="I144" s="45">
        <v>0.8155159428570464</v>
      </c>
    </row>
    <row r="145" spans="1:9" s="51" customFormat="1" ht="11.25">
      <c r="A145" s="49" t="s">
        <v>251</v>
      </c>
      <c r="B145" s="50"/>
      <c r="C145" s="51" t="s">
        <v>216</v>
      </c>
      <c r="D145" s="92">
        <v>3462455</v>
      </c>
      <c r="E145" s="52">
        <v>5500000</v>
      </c>
      <c r="F145" s="92">
        <v>4151000</v>
      </c>
      <c r="G145" s="45">
        <v>119.88603461994451</v>
      </c>
      <c r="H145" s="45">
        <v>75.47272727272727</v>
      </c>
      <c r="I145" s="45">
        <v>0.07162293873538812</v>
      </c>
    </row>
    <row r="146" spans="1:9" s="51" customFormat="1" ht="11.25">
      <c r="A146" s="49" t="s">
        <v>252</v>
      </c>
      <c r="B146" s="50"/>
      <c r="C146" s="51" t="s">
        <v>253</v>
      </c>
      <c r="D146" s="92"/>
      <c r="E146" s="52">
        <v>16635000</v>
      </c>
      <c r="F146" s="92">
        <v>4541405.28</v>
      </c>
      <c r="G146" s="45"/>
      <c r="H146" s="45">
        <v>27.30030225428314</v>
      </c>
      <c r="I146" s="45">
        <v>0.07835914048229539</v>
      </c>
    </row>
    <row r="147" spans="1:9" ht="12.75" customHeight="1">
      <c r="A147" s="28"/>
      <c r="C147" s="36"/>
      <c r="D147" s="89"/>
      <c r="F147" s="89"/>
      <c r="G147" s="26"/>
      <c r="H147" s="26"/>
      <c r="I147" s="26"/>
    </row>
    <row r="148" spans="1:9" s="31" customFormat="1" ht="12.75">
      <c r="A148" s="30">
        <v>711</v>
      </c>
      <c r="C148" s="31" t="s">
        <v>254</v>
      </c>
      <c r="D148" s="87">
        <v>18981</v>
      </c>
      <c r="E148" s="32">
        <v>500000</v>
      </c>
      <c r="F148" s="87">
        <v>9239454.370000001</v>
      </c>
      <c r="G148" s="22">
        <v>48677.38459512144</v>
      </c>
      <c r="H148" s="22">
        <v>1847.8908740000002</v>
      </c>
      <c r="I148" s="22">
        <v>0.1594210730645445</v>
      </c>
    </row>
    <row r="149" spans="1:9" s="31" customFormat="1" ht="12.75">
      <c r="A149" s="30">
        <v>7111</v>
      </c>
      <c r="C149" s="31" t="s">
        <v>255</v>
      </c>
      <c r="D149" s="87">
        <v>18981</v>
      </c>
      <c r="E149" s="32">
        <v>500000</v>
      </c>
      <c r="F149" s="87">
        <v>9239454.370000001</v>
      </c>
      <c r="G149" s="22">
        <v>48677.38459512144</v>
      </c>
      <c r="H149" s="22">
        <v>1847.8908740000002</v>
      </c>
      <c r="I149" s="22">
        <v>0.1594210730645445</v>
      </c>
    </row>
    <row r="150" spans="1:9" s="36" customFormat="1" ht="12.75" customHeight="1">
      <c r="A150" s="35" t="s">
        <v>616</v>
      </c>
      <c r="C150" s="36" t="s">
        <v>255</v>
      </c>
      <c r="D150" s="88">
        <v>18981</v>
      </c>
      <c r="E150" s="37">
        <v>500000</v>
      </c>
      <c r="F150" s="88">
        <v>9239454.370000001</v>
      </c>
      <c r="G150" s="39">
        <v>48677.38459512144</v>
      </c>
      <c r="H150" s="39">
        <v>1847.8908740000002</v>
      </c>
      <c r="I150" s="39">
        <v>0.1594210730645445</v>
      </c>
    </row>
    <row r="151" spans="1:9" s="36" customFormat="1" ht="12.75" customHeight="1" hidden="1">
      <c r="A151" s="35" t="s">
        <v>257</v>
      </c>
      <c r="C151" s="36" t="s">
        <v>258</v>
      </c>
      <c r="D151" s="88"/>
      <c r="E151" s="37"/>
      <c r="F151" s="88"/>
      <c r="G151" s="39" t="e">
        <v>#DIV/0!</v>
      </c>
      <c r="H151" s="39" t="e">
        <v>#DIV/0!</v>
      </c>
      <c r="I151" s="39">
        <v>0</v>
      </c>
    </row>
    <row r="152" spans="1:9" ht="12.75" customHeight="1">
      <c r="A152" s="28"/>
      <c r="D152" s="89"/>
      <c r="F152" s="89"/>
      <c r="G152" s="26"/>
      <c r="H152" s="26"/>
      <c r="I152" s="26"/>
    </row>
    <row r="153" spans="1:9" s="31" customFormat="1" ht="12.75">
      <c r="A153" s="30">
        <v>712</v>
      </c>
      <c r="C153" s="31" t="s">
        <v>259</v>
      </c>
      <c r="D153" s="87">
        <v>16639417</v>
      </c>
      <c r="E153" s="32">
        <v>38300000</v>
      </c>
      <c r="F153" s="87">
        <v>19534579.37</v>
      </c>
      <c r="G153" s="22">
        <v>117.39942192686199</v>
      </c>
      <c r="H153" s="22">
        <v>51.00412368146215</v>
      </c>
      <c r="I153" s="22">
        <v>0.33705709020455</v>
      </c>
    </row>
    <row r="154" spans="1:9" s="31" customFormat="1" ht="12.75">
      <c r="A154" s="30">
        <v>7120</v>
      </c>
      <c r="C154" s="31" t="s">
        <v>260</v>
      </c>
      <c r="D154" s="87">
        <v>16639417</v>
      </c>
      <c r="E154" s="32">
        <v>38300000</v>
      </c>
      <c r="F154" s="87">
        <v>19534579.37</v>
      </c>
      <c r="G154" s="22">
        <v>117.39942192686199</v>
      </c>
      <c r="H154" s="22">
        <v>51.00412368146215</v>
      </c>
      <c r="I154" s="22">
        <v>0.33705709020455</v>
      </c>
    </row>
    <row r="155" spans="1:9" s="36" customFormat="1" ht="12.75" customHeight="1">
      <c r="A155" s="35" t="s">
        <v>261</v>
      </c>
      <c r="C155" s="36" t="s">
        <v>262</v>
      </c>
      <c r="D155" s="88">
        <v>15975519</v>
      </c>
      <c r="E155" s="37">
        <v>37000000</v>
      </c>
      <c r="F155" s="88">
        <v>19143902.05</v>
      </c>
      <c r="G155" s="39">
        <v>119.832739393318</v>
      </c>
      <c r="H155" s="39">
        <v>51.74027581081081</v>
      </c>
      <c r="I155" s="39">
        <v>0.3303161945756255</v>
      </c>
    </row>
    <row r="156" spans="1:9" s="36" customFormat="1" ht="12.75" customHeight="1">
      <c r="A156" s="35" t="s">
        <v>263</v>
      </c>
      <c r="C156" s="36" t="s">
        <v>264</v>
      </c>
      <c r="D156" s="88">
        <v>80907</v>
      </c>
      <c r="E156" s="37">
        <v>200000</v>
      </c>
      <c r="F156" s="88">
        <v>19927.8</v>
      </c>
      <c r="G156" s="39">
        <v>24.63050168712225</v>
      </c>
      <c r="H156" s="39">
        <v>9.963899999999999</v>
      </c>
      <c r="I156" s="39">
        <v>0.00034384186907517885</v>
      </c>
    </row>
    <row r="157" spans="1:9" s="36" customFormat="1" ht="12.75" customHeight="1">
      <c r="A157" s="35" t="s">
        <v>265</v>
      </c>
      <c r="C157" s="36" t="s">
        <v>266</v>
      </c>
      <c r="D157" s="88">
        <v>582991</v>
      </c>
      <c r="E157" s="37">
        <v>1100000</v>
      </c>
      <c r="F157" s="88">
        <v>370749.52</v>
      </c>
      <c r="G157" s="39">
        <v>63.59438138839193</v>
      </c>
      <c r="H157" s="39">
        <v>33.70450181818182</v>
      </c>
      <c r="I157" s="39">
        <v>0.0063970537598493265</v>
      </c>
    </row>
    <row r="158" spans="1:9" ht="12.75" customHeight="1">
      <c r="A158" s="28"/>
      <c r="D158" s="89"/>
      <c r="F158" s="89"/>
      <c r="G158" s="26"/>
      <c r="H158" s="26"/>
      <c r="I158" s="26"/>
    </row>
    <row r="159" spans="1:9" s="31" customFormat="1" ht="12.75">
      <c r="A159" s="30">
        <v>713</v>
      </c>
      <c r="C159" s="31" t="s">
        <v>267</v>
      </c>
      <c r="D159" s="87">
        <v>8234801</v>
      </c>
      <c r="E159" s="32">
        <v>27000000</v>
      </c>
      <c r="F159" s="87">
        <v>12465042.08</v>
      </c>
      <c r="G159" s="22">
        <v>151.37028909381053</v>
      </c>
      <c r="H159" s="22">
        <v>46.16682251851852</v>
      </c>
      <c r="I159" s="22">
        <v>0.21507659485181285</v>
      </c>
    </row>
    <row r="160" spans="1:9" s="31" customFormat="1" ht="12.75">
      <c r="A160" s="30">
        <v>7130</v>
      </c>
      <c r="C160" s="31" t="s">
        <v>268</v>
      </c>
      <c r="D160" s="87">
        <v>8234801</v>
      </c>
      <c r="E160" s="32">
        <v>27000000</v>
      </c>
      <c r="F160" s="87">
        <v>12465042.08</v>
      </c>
      <c r="G160" s="22">
        <v>151.37028909381053</v>
      </c>
      <c r="H160" s="22">
        <v>46.16682251851852</v>
      </c>
      <c r="I160" s="22">
        <v>0.21507659485181285</v>
      </c>
    </row>
    <row r="161" spans="1:9" s="36" customFormat="1" ht="11.25" hidden="1">
      <c r="A161" s="35" t="s">
        <v>269</v>
      </c>
      <c r="C161" s="36" t="s">
        <v>268</v>
      </c>
      <c r="D161" s="88">
        <v>0</v>
      </c>
      <c r="E161" s="37">
        <v>0</v>
      </c>
      <c r="F161" s="88">
        <v>0</v>
      </c>
      <c r="G161" s="39" t="e">
        <v>#DIV/0!</v>
      </c>
      <c r="H161" s="39" t="e">
        <v>#DIV/0!</v>
      </c>
      <c r="I161" s="39">
        <v>0</v>
      </c>
    </row>
    <row r="162" spans="1:9" s="43" customFormat="1" ht="12.75" hidden="1">
      <c r="A162" s="41"/>
      <c r="B162" s="42" t="s">
        <v>270</v>
      </c>
      <c r="D162" s="90"/>
      <c r="E162" s="25"/>
      <c r="F162" s="90"/>
      <c r="G162" s="45" t="e">
        <v>#DIV/0!</v>
      </c>
      <c r="H162" s="45" t="e">
        <v>#DIV/0!</v>
      </c>
      <c r="I162" s="45">
        <v>0</v>
      </c>
    </row>
    <row r="163" spans="1:9" s="43" customFormat="1" ht="11.25" hidden="1">
      <c r="A163" s="41"/>
      <c r="B163" s="42" t="s">
        <v>271</v>
      </c>
      <c r="D163" s="90"/>
      <c r="F163" s="90"/>
      <c r="G163" s="45" t="e">
        <v>#DIV/0!</v>
      </c>
      <c r="H163" s="45" t="e">
        <v>#DIV/0!</v>
      </c>
      <c r="I163" s="45">
        <v>0</v>
      </c>
    </row>
    <row r="164" spans="1:9" s="43" customFormat="1" ht="11.25" hidden="1">
      <c r="A164" s="41"/>
      <c r="B164" s="42" t="s">
        <v>272</v>
      </c>
      <c r="D164" s="90"/>
      <c r="F164" s="90"/>
      <c r="G164" s="45" t="e">
        <v>#DIV/0!</v>
      </c>
      <c r="H164" s="45" t="e">
        <v>#DIV/0!</v>
      </c>
      <c r="I164" s="45">
        <v>0</v>
      </c>
    </row>
    <row r="165" spans="1:9" s="43" customFormat="1" ht="11.25" hidden="1">
      <c r="A165" s="41"/>
      <c r="B165" s="42" t="s">
        <v>273</v>
      </c>
      <c r="D165" s="90"/>
      <c r="F165" s="90"/>
      <c r="G165" s="45" t="e">
        <v>#DIV/0!</v>
      </c>
      <c r="H165" s="45" t="e">
        <v>#DIV/0!</v>
      </c>
      <c r="I165" s="45">
        <v>0</v>
      </c>
    </row>
    <row r="166" spans="1:9" s="43" customFormat="1" ht="11.25" hidden="1">
      <c r="A166" s="41"/>
      <c r="B166" s="42" t="s">
        <v>274</v>
      </c>
      <c r="D166" s="90"/>
      <c r="E166" s="44"/>
      <c r="F166" s="90"/>
      <c r="G166" s="45" t="e">
        <v>#DIV/0!</v>
      </c>
      <c r="H166" s="45" t="e">
        <v>#DIV/0!</v>
      </c>
      <c r="I166" s="45">
        <v>0</v>
      </c>
    </row>
    <row r="167" spans="1:9" s="43" customFormat="1" ht="11.25" hidden="1">
      <c r="A167" s="41"/>
      <c r="B167" s="42" t="s">
        <v>275</v>
      </c>
      <c r="D167" s="90"/>
      <c r="E167" s="44"/>
      <c r="F167" s="90"/>
      <c r="G167" s="45" t="e">
        <v>#DIV/0!</v>
      </c>
      <c r="H167" s="45" t="e">
        <v>#DIV/0!</v>
      </c>
      <c r="I167" s="45">
        <v>0</v>
      </c>
    </row>
    <row r="168" spans="1:9" s="43" customFormat="1" ht="11.25" hidden="1">
      <c r="A168" s="41"/>
      <c r="B168" s="42" t="s">
        <v>276</v>
      </c>
      <c r="D168" s="90"/>
      <c r="E168" s="44"/>
      <c r="F168" s="90"/>
      <c r="G168" s="45" t="e">
        <v>#DIV/0!</v>
      </c>
      <c r="H168" s="45" t="e">
        <v>#DIV/0!</v>
      </c>
      <c r="I168" s="45">
        <v>0</v>
      </c>
    </row>
    <row r="169" spans="1:9" s="43" customFormat="1" ht="11.25" hidden="1">
      <c r="A169" s="41"/>
      <c r="B169" s="42" t="s">
        <v>277</v>
      </c>
      <c r="D169" s="90"/>
      <c r="E169" s="44"/>
      <c r="F169" s="90"/>
      <c r="G169" s="45" t="e">
        <v>#DIV/0!</v>
      </c>
      <c r="H169" s="45" t="e">
        <v>#DIV/0!</v>
      </c>
      <c r="I169" s="45">
        <v>0</v>
      </c>
    </row>
    <row r="170" spans="1:9" s="36" customFormat="1" ht="12.75" customHeight="1">
      <c r="A170" s="35" t="s">
        <v>278</v>
      </c>
      <c r="C170" s="36" t="s">
        <v>279</v>
      </c>
      <c r="D170" s="88">
        <v>208753</v>
      </c>
      <c r="E170" s="37">
        <v>1300000</v>
      </c>
      <c r="F170" s="88">
        <v>377000</v>
      </c>
      <c r="G170" s="39">
        <v>180.59620700061797</v>
      </c>
      <c r="H170" s="39">
        <v>29</v>
      </c>
      <c r="I170" s="39">
        <v>0.006504901928027301</v>
      </c>
    </row>
    <row r="171" spans="1:9" s="36" customFormat="1" ht="12.75" customHeight="1">
      <c r="A171" s="35" t="s">
        <v>280</v>
      </c>
      <c r="C171" s="36" t="s">
        <v>281</v>
      </c>
      <c r="D171" s="88">
        <v>8026048</v>
      </c>
      <c r="E171" s="37">
        <v>25700000</v>
      </c>
      <c r="F171" s="88">
        <v>12088042.08</v>
      </c>
      <c r="G171" s="39">
        <v>150.61013938615866</v>
      </c>
      <c r="H171" s="39">
        <v>47.03518319066148</v>
      </c>
      <c r="I171" s="39">
        <v>0.20857169292378552</v>
      </c>
    </row>
    <row r="172" spans="1:9" s="43" customFormat="1" ht="12.75" customHeight="1">
      <c r="A172" s="41" t="s">
        <v>282</v>
      </c>
      <c r="B172" s="42"/>
      <c r="C172" s="43" t="s">
        <v>283</v>
      </c>
      <c r="D172" s="90">
        <v>3812362</v>
      </c>
      <c r="E172" s="44">
        <v>10700000</v>
      </c>
      <c r="F172" s="90">
        <v>4489136.66</v>
      </c>
      <c r="G172" s="45">
        <v>117.75210905994761</v>
      </c>
      <c r="H172" s="45">
        <v>41.95454822429907</v>
      </c>
      <c r="I172" s="45">
        <v>0.07745727775812211</v>
      </c>
    </row>
    <row r="173" spans="1:9" s="43" customFormat="1" ht="11.25" hidden="1">
      <c r="A173" s="41" t="s">
        <v>284</v>
      </c>
      <c r="B173" s="42"/>
      <c r="C173" s="43" t="s">
        <v>285</v>
      </c>
      <c r="D173" s="90"/>
      <c r="E173" s="44"/>
      <c r="F173" s="90"/>
      <c r="G173" s="45" t="e">
        <v>#DIV/0!</v>
      </c>
      <c r="H173" s="45" t="e">
        <v>#DIV/0!</v>
      </c>
      <c r="I173" s="45">
        <v>0</v>
      </c>
    </row>
    <row r="174" spans="1:9" s="43" customFormat="1" ht="11.25">
      <c r="A174" s="41" t="s">
        <v>286</v>
      </c>
      <c r="B174" s="42"/>
      <c r="C174" s="43" t="s">
        <v>287</v>
      </c>
      <c r="D174" s="90"/>
      <c r="E174" s="44">
        <v>5000000</v>
      </c>
      <c r="F174" s="90">
        <v>3427003.86</v>
      </c>
      <c r="G174" s="45"/>
      <c r="H174" s="45">
        <v>68.5400772</v>
      </c>
      <c r="I174" s="45">
        <v>0.05913083293440583</v>
      </c>
    </row>
    <row r="175" spans="1:9" s="43" customFormat="1" ht="11.25">
      <c r="A175" s="41" t="s">
        <v>288</v>
      </c>
      <c r="B175" s="42"/>
      <c r="C175" s="43" t="s">
        <v>289</v>
      </c>
      <c r="D175" s="90">
        <v>142450</v>
      </c>
      <c r="E175" s="44">
        <v>500000</v>
      </c>
      <c r="F175" s="90">
        <v>12000</v>
      </c>
      <c r="G175" s="45">
        <v>8.424008424008424</v>
      </c>
      <c r="H175" s="45">
        <v>2.4</v>
      </c>
      <c r="I175" s="45">
        <v>0.00020705258126346848</v>
      </c>
    </row>
    <row r="176" spans="1:9" s="43" customFormat="1" ht="11.25">
      <c r="A176" s="41" t="s">
        <v>290</v>
      </c>
      <c r="B176" s="42"/>
      <c r="C176" s="43" t="s">
        <v>291</v>
      </c>
      <c r="D176" s="90">
        <v>396600</v>
      </c>
      <c r="E176" s="44">
        <v>500000</v>
      </c>
      <c r="F176" s="90">
        <v>315126</v>
      </c>
      <c r="G176" s="45">
        <v>79.45688350983359</v>
      </c>
      <c r="H176" s="45">
        <v>63.025200000000005</v>
      </c>
      <c r="I176" s="45">
        <v>0.005437304310269313</v>
      </c>
    </row>
    <row r="177" spans="1:9" s="43" customFormat="1" ht="11.25">
      <c r="A177" s="41" t="s">
        <v>292</v>
      </c>
      <c r="B177" s="42"/>
      <c r="C177" s="43" t="s">
        <v>293</v>
      </c>
      <c r="D177" s="90"/>
      <c r="E177" s="44">
        <v>500000</v>
      </c>
      <c r="F177" s="90">
        <v>70000</v>
      </c>
      <c r="G177" s="45"/>
      <c r="H177" s="45">
        <v>14</v>
      </c>
      <c r="I177" s="45">
        <v>0.0012078067240368993</v>
      </c>
    </row>
    <row r="178" spans="1:9" s="43" customFormat="1" ht="11.25">
      <c r="A178" s="41" t="s">
        <v>294</v>
      </c>
      <c r="B178" s="42"/>
      <c r="C178" s="43" t="s">
        <v>295</v>
      </c>
      <c r="D178" s="90">
        <v>704889</v>
      </c>
      <c r="E178" s="44">
        <v>500000</v>
      </c>
      <c r="F178" s="90">
        <v>1634453.55</v>
      </c>
      <c r="G178" s="45">
        <v>231.8738907828041</v>
      </c>
      <c r="H178" s="45">
        <v>326.89071</v>
      </c>
      <c r="I178" s="45">
        <v>0.028201485540228294</v>
      </c>
    </row>
    <row r="179" spans="1:9" s="43" customFormat="1" ht="11.25">
      <c r="A179" s="41" t="s">
        <v>296</v>
      </c>
      <c r="B179" s="42"/>
      <c r="C179" s="43" t="s">
        <v>297</v>
      </c>
      <c r="D179" s="90">
        <v>250207</v>
      </c>
      <c r="E179" s="44">
        <v>1000000</v>
      </c>
      <c r="F179" s="90">
        <v>202688.18</v>
      </c>
      <c r="G179" s="45">
        <v>81.00819721270788</v>
      </c>
      <c r="H179" s="45">
        <v>20.268818</v>
      </c>
      <c r="I179" s="45">
        <v>0.0034972592383828768</v>
      </c>
    </row>
    <row r="180" spans="1:9" s="43" customFormat="1" ht="11.25">
      <c r="A180" s="41" t="s">
        <v>298</v>
      </c>
      <c r="B180" s="42"/>
      <c r="C180" s="43" t="s">
        <v>299</v>
      </c>
      <c r="D180" s="90"/>
      <c r="F180" s="90">
        <v>374453.83</v>
      </c>
      <c r="G180" s="45"/>
      <c r="H180" s="45"/>
      <c r="I180" s="45">
        <v>0.006460969338791</v>
      </c>
    </row>
    <row r="181" spans="1:9" s="43" customFormat="1" ht="11.25">
      <c r="A181" s="41" t="s">
        <v>300</v>
      </c>
      <c r="B181" s="42"/>
      <c r="C181" s="43" t="s">
        <v>301</v>
      </c>
      <c r="D181" s="90">
        <v>137500</v>
      </c>
      <c r="F181" s="90">
        <v>600000</v>
      </c>
      <c r="G181" s="45">
        <v>436.3636363636363</v>
      </c>
      <c r="H181" s="45"/>
      <c r="I181" s="45">
        <v>0.010352629063173423</v>
      </c>
    </row>
    <row r="182" spans="1:9" s="43" customFormat="1" ht="11.25">
      <c r="A182" s="41" t="s">
        <v>302</v>
      </c>
      <c r="B182" s="42"/>
      <c r="C182" s="43" t="s">
        <v>303</v>
      </c>
      <c r="D182" s="90">
        <v>152294</v>
      </c>
      <c r="E182" s="44">
        <v>4000000</v>
      </c>
      <c r="F182" s="90">
        <v>97980</v>
      </c>
      <c r="G182" s="45">
        <v>64.33608677951857</v>
      </c>
      <c r="H182" s="45">
        <v>2.4495</v>
      </c>
      <c r="I182" s="45">
        <v>0.00169058432601622</v>
      </c>
    </row>
    <row r="183" spans="1:9" s="43" customFormat="1" ht="11.25">
      <c r="A183" s="41" t="s">
        <v>304</v>
      </c>
      <c r="B183" s="42"/>
      <c r="C183" s="43" t="s">
        <v>305</v>
      </c>
      <c r="D183" s="90">
        <v>1168534</v>
      </c>
      <c r="E183" s="44">
        <v>2000000</v>
      </c>
      <c r="F183" s="90">
        <v>396000</v>
      </c>
      <c r="G183" s="45">
        <v>33.88861599234597</v>
      </c>
      <c r="H183" s="45">
        <v>19.8</v>
      </c>
      <c r="I183" s="45">
        <v>0.006832735181694459</v>
      </c>
    </row>
    <row r="184" spans="1:9" s="43" customFormat="1" ht="11.25">
      <c r="A184" s="41" t="s">
        <v>306</v>
      </c>
      <c r="B184" s="42"/>
      <c r="C184" s="43" t="s">
        <v>307</v>
      </c>
      <c r="D184" s="90">
        <v>1261212</v>
      </c>
      <c r="E184" s="44">
        <v>1000000</v>
      </c>
      <c r="F184" s="90">
        <v>469200</v>
      </c>
      <c r="G184" s="45">
        <v>37.20231015879963</v>
      </c>
      <c r="H184" s="45">
        <v>46.92</v>
      </c>
      <c r="I184" s="45">
        <v>0.008095755927401617</v>
      </c>
    </row>
    <row r="185" spans="1:9" ht="12.75" customHeight="1">
      <c r="A185" s="28"/>
      <c r="D185" s="89"/>
      <c r="F185" s="89"/>
      <c r="G185" s="26"/>
      <c r="H185" s="26"/>
      <c r="I185" s="26"/>
    </row>
    <row r="186" spans="1:9" s="31" customFormat="1" ht="12.75">
      <c r="A186" s="30">
        <v>714</v>
      </c>
      <c r="C186" s="31" t="s">
        <v>308</v>
      </c>
      <c r="D186" s="87">
        <v>256592296</v>
      </c>
      <c r="E186" s="32">
        <v>1095300000</v>
      </c>
      <c r="F186" s="87">
        <v>403625224.75</v>
      </c>
      <c r="G186" s="22">
        <v>157.30216029167144</v>
      </c>
      <c r="H186" s="22">
        <v>36.85065504884506</v>
      </c>
      <c r="I186" s="22">
        <v>6.964303720627925</v>
      </c>
    </row>
    <row r="187" spans="1:9" s="31" customFormat="1" ht="12.75">
      <c r="A187" s="30">
        <v>7141</v>
      </c>
      <c r="C187" s="31" t="s">
        <v>309</v>
      </c>
      <c r="D187" s="87">
        <v>256592296</v>
      </c>
      <c r="E187" s="32">
        <v>1095300000</v>
      </c>
      <c r="F187" s="87">
        <v>403625224.75</v>
      </c>
      <c r="G187" s="22">
        <v>157.30216029167144</v>
      </c>
      <c r="H187" s="22">
        <v>36.85065504884506</v>
      </c>
      <c r="I187" s="22">
        <v>6.964303720627925</v>
      </c>
    </row>
    <row r="188" spans="1:9" s="36" customFormat="1" ht="12.75" customHeight="1">
      <c r="A188" s="35" t="s">
        <v>310</v>
      </c>
      <c r="C188" s="36" t="s">
        <v>309</v>
      </c>
      <c r="D188" s="88">
        <v>118405708</v>
      </c>
      <c r="E188" s="37">
        <v>740650000</v>
      </c>
      <c r="F188" s="88">
        <v>278730868.79999995</v>
      </c>
      <c r="G188" s="39">
        <v>235.40323647234976</v>
      </c>
      <c r="H188" s="39">
        <v>37.63327736447714</v>
      </c>
      <c r="I188" s="39">
        <v>4.809328821904097</v>
      </c>
    </row>
    <row r="189" spans="1:9" s="43" customFormat="1" ht="12.75" customHeight="1" hidden="1">
      <c r="A189" s="41"/>
      <c r="B189" s="42" t="s">
        <v>270</v>
      </c>
      <c r="C189" s="43" t="s">
        <v>311</v>
      </c>
      <c r="D189" s="90"/>
      <c r="F189" s="90"/>
      <c r="G189" s="39" t="e">
        <v>#DIV/0!</v>
      </c>
      <c r="H189" s="39" t="e">
        <v>#DIV/0!</v>
      </c>
      <c r="I189" s="39">
        <v>0</v>
      </c>
    </row>
    <row r="190" spans="1:9" s="43" customFormat="1" ht="12.75" customHeight="1" hidden="1">
      <c r="A190" s="41" t="s">
        <v>312</v>
      </c>
      <c r="B190" s="42"/>
      <c r="C190" s="43" t="s">
        <v>313</v>
      </c>
      <c r="D190" s="90"/>
      <c r="F190" s="90"/>
      <c r="G190" s="45" t="e">
        <v>#DIV/0!</v>
      </c>
      <c r="H190" s="45"/>
      <c r="I190" s="45">
        <v>0</v>
      </c>
    </row>
    <row r="191" spans="1:9" s="43" customFormat="1" ht="11.25">
      <c r="A191" s="41" t="s">
        <v>314</v>
      </c>
      <c r="B191" s="42"/>
      <c r="C191" s="43" t="s">
        <v>315</v>
      </c>
      <c r="D191" s="90">
        <v>0</v>
      </c>
      <c r="E191" s="44">
        <v>500000000</v>
      </c>
      <c r="F191" s="90">
        <v>170615219.45</v>
      </c>
      <c r="G191" s="45"/>
      <c r="H191" s="45">
        <v>34.12304389</v>
      </c>
      <c r="I191" s="45">
        <v>2.943860132496302</v>
      </c>
    </row>
    <row r="192" spans="1:9" s="43" customFormat="1" ht="11.25">
      <c r="A192" s="41" t="s">
        <v>316</v>
      </c>
      <c r="B192" s="42"/>
      <c r="C192" s="43" t="s">
        <v>317</v>
      </c>
      <c r="D192" s="90">
        <v>118405708</v>
      </c>
      <c r="E192" s="44">
        <v>240650000</v>
      </c>
      <c r="F192" s="90">
        <v>108115649.35</v>
      </c>
      <c r="G192" s="45">
        <v>91.3094910508875</v>
      </c>
      <c r="H192" s="45">
        <v>44.92651126116767</v>
      </c>
      <c r="I192" s="45">
        <v>1.8654686894077943</v>
      </c>
    </row>
    <row r="193" spans="1:9" s="36" customFormat="1" ht="12.75" customHeight="1">
      <c r="A193" s="35" t="s">
        <v>318</v>
      </c>
      <c r="C193" s="36" t="s">
        <v>319</v>
      </c>
      <c r="D193" s="88">
        <v>72813706</v>
      </c>
      <c r="E193" s="37">
        <v>161350000</v>
      </c>
      <c r="F193" s="88">
        <v>66635383.14</v>
      </c>
      <c r="G193" s="39">
        <v>91.51489025980905</v>
      </c>
      <c r="H193" s="39">
        <v>41.29865704369383</v>
      </c>
      <c r="I193" s="39">
        <v>1.1497523402181005</v>
      </c>
    </row>
    <row r="194" spans="1:9" s="36" customFormat="1" ht="12.75" customHeight="1">
      <c r="A194" s="35" t="s">
        <v>320</v>
      </c>
      <c r="C194" s="36" t="s">
        <v>321</v>
      </c>
      <c r="D194" s="88">
        <v>2541613</v>
      </c>
      <c r="E194" s="37">
        <v>3500000</v>
      </c>
      <c r="F194" s="88">
        <v>2135113.6</v>
      </c>
      <c r="G194" s="39">
        <v>84.0062432793663</v>
      </c>
      <c r="H194" s="39">
        <v>61.00324571428571</v>
      </c>
      <c r="I194" s="39">
        <v>0.03684006518089473</v>
      </c>
    </row>
    <row r="195" spans="1:9" s="36" customFormat="1" ht="12.75" customHeight="1">
      <c r="A195" s="35" t="s">
        <v>322</v>
      </c>
      <c r="C195" s="36" t="s">
        <v>590</v>
      </c>
      <c r="D195" s="88">
        <v>1257673</v>
      </c>
      <c r="E195" s="37">
        <v>9000000</v>
      </c>
      <c r="F195" s="88">
        <v>787659.72</v>
      </c>
      <c r="G195" s="39">
        <v>62.62833979897795</v>
      </c>
      <c r="H195" s="39">
        <v>8.751774666666666</v>
      </c>
      <c r="I195" s="39">
        <v>0.013590581515271734</v>
      </c>
    </row>
    <row r="196" spans="1:9" s="51" customFormat="1" ht="11.25" customHeight="1" hidden="1">
      <c r="A196" s="49">
        <v>71410701</v>
      </c>
      <c r="C196" s="51" t="s">
        <v>588</v>
      </c>
      <c r="D196" s="92"/>
      <c r="E196" s="52"/>
      <c r="F196" s="92"/>
      <c r="G196" s="53"/>
      <c r="H196" s="53"/>
      <c r="I196" s="53">
        <v>0</v>
      </c>
    </row>
    <row r="197" spans="1:9" s="51" customFormat="1" ht="11.25" customHeight="1">
      <c r="A197" s="49">
        <v>71410704</v>
      </c>
      <c r="C197" s="51" t="s">
        <v>589</v>
      </c>
      <c r="D197" s="92">
        <v>1257673</v>
      </c>
      <c r="E197" s="52">
        <v>9000000</v>
      </c>
      <c r="F197" s="92">
        <v>787659.72</v>
      </c>
      <c r="G197" s="53">
        <v>62.62833979897795</v>
      </c>
      <c r="H197" s="53">
        <v>8.751774666666666</v>
      </c>
      <c r="I197" s="53">
        <v>0.013590581515271734</v>
      </c>
    </row>
    <row r="198" spans="1:9" s="36" customFormat="1" ht="11.25" customHeight="1" hidden="1">
      <c r="A198" s="35" t="s">
        <v>323</v>
      </c>
      <c r="C198" s="36" t="s">
        <v>324</v>
      </c>
      <c r="D198" s="88"/>
      <c r="F198" s="88"/>
      <c r="G198" s="39" t="e">
        <v>#DIV/0!</v>
      </c>
      <c r="H198" s="39" t="e">
        <v>#DIV/0!</v>
      </c>
      <c r="I198" s="39">
        <v>0</v>
      </c>
    </row>
    <row r="199" spans="1:9" s="36" customFormat="1" ht="11.25" customHeight="1" hidden="1">
      <c r="A199" s="35" t="s">
        <v>325</v>
      </c>
      <c r="C199" s="36" t="s">
        <v>326</v>
      </c>
      <c r="D199" s="88"/>
      <c r="F199" s="88"/>
      <c r="G199" s="39" t="e">
        <v>#DIV/0!</v>
      </c>
      <c r="H199" s="39" t="e">
        <v>#DIV/0!</v>
      </c>
      <c r="I199" s="39">
        <v>0</v>
      </c>
    </row>
    <row r="200" spans="1:9" s="36" customFormat="1" ht="11.25" customHeight="1" hidden="1">
      <c r="A200" s="35" t="s">
        <v>327</v>
      </c>
      <c r="C200" s="36" t="s">
        <v>328</v>
      </c>
      <c r="D200" s="88"/>
      <c r="F200" s="88"/>
      <c r="G200" s="39" t="e">
        <v>#DIV/0!</v>
      </c>
      <c r="H200" s="39" t="e">
        <v>#DIV/0!</v>
      </c>
      <c r="I200" s="39">
        <v>0</v>
      </c>
    </row>
    <row r="201" spans="1:9" s="36" customFormat="1" ht="11.25" customHeight="1">
      <c r="A201" s="35" t="s">
        <v>329</v>
      </c>
      <c r="C201" s="36" t="s">
        <v>330</v>
      </c>
      <c r="D201" s="88">
        <v>61573596</v>
      </c>
      <c r="E201" s="37">
        <v>180800000</v>
      </c>
      <c r="F201" s="88">
        <v>55336199.49</v>
      </c>
      <c r="G201" s="39">
        <v>89.87001423467294</v>
      </c>
      <c r="H201" s="39">
        <v>30.60630502765487</v>
      </c>
      <c r="I201" s="39">
        <v>0.9547919118095607</v>
      </c>
    </row>
    <row r="202" spans="1:9" s="43" customFormat="1" ht="12.75" customHeight="1">
      <c r="A202" s="41" t="s">
        <v>331</v>
      </c>
      <c r="B202" s="42"/>
      <c r="C202" s="43" t="s">
        <v>332</v>
      </c>
      <c r="D202" s="90">
        <v>40396576</v>
      </c>
      <c r="E202" s="44">
        <v>158800000</v>
      </c>
      <c r="F202" s="90">
        <v>50180092</v>
      </c>
      <c r="G202" s="45">
        <v>124.21867635514457</v>
      </c>
      <c r="H202" s="45">
        <v>31.599554156171283</v>
      </c>
      <c r="I202" s="45">
        <v>0.8658264647198602</v>
      </c>
    </row>
    <row r="203" spans="1:9" s="43" customFormat="1" ht="11.25">
      <c r="A203" s="41" t="s">
        <v>333</v>
      </c>
      <c r="B203" s="42"/>
      <c r="C203" s="43" t="s">
        <v>334</v>
      </c>
      <c r="D203" s="90">
        <v>20814103</v>
      </c>
      <c r="E203" s="44">
        <v>20000000</v>
      </c>
      <c r="F203" s="90">
        <v>4670040.04</v>
      </c>
      <c r="G203" s="45">
        <v>22.436902709667574</v>
      </c>
      <c r="H203" s="45">
        <v>23.3502002</v>
      </c>
      <c r="I203" s="45">
        <v>0.08057865374047929</v>
      </c>
    </row>
    <row r="204" spans="1:9" s="43" customFormat="1" ht="11.25">
      <c r="A204" s="41" t="s">
        <v>335</v>
      </c>
      <c r="B204" s="42"/>
      <c r="C204" s="43" t="s">
        <v>336</v>
      </c>
      <c r="D204" s="90">
        <v>362917</v>
      </c>
      <c r="E204" s="44">
        <v>2000000</v>
      </c>
      <c r="F204" s="90">
        <v>480611</v>
      </c>
      <c r="G204" s="45">
        <v>132.43000465671213</v>
      </c>
      <c r="H204" s="45">
        <v>24.03055</v>
      </c>
      <c r="I204" s="45">
        <v>0.008292645677801403</v>
      </c>
    </row>
    <row r="205" spans="1:9" s="43" customFormat="1" ht="11.25">
      <c r="A205" s="41" t="s">
        <v>337</v>
      </c>
      <c r="B205" s="42"/>
      <c r="C205" s="43" t="s">
        <v>338</v>
      </c>
      <c r="D205" s="90"/>
      <c r="F205" s="90">
        <v>5456.45</v>
      </c>
      <c r="G205" s="45"/>
      <c r="H205" s="45"/>
      <c r="I205" s="45">
        <v>9.41476714195877E-05</v>
      </c>
    </row>
    <row r="206" spans="1:9" ht="12.75" customHeight="1">
      <c r="A206" s="28"/>
      <c r="D206" s="89"/>
      <c r="F206" s="89"/>
      <c r="G206" s="26"/>
      <c r="H206" s="26"/>
      <c r="I206" s="26"/>
    </row>
    <row r="207" spans="1:9" s="47" customFormat="1" ht="15.75">
      <c r="A207" s="46">
        <v>72</v>
      </c>
      <c r="C207" s="47" t="s">
        <v>339</v>
      </c>
      <c r="D207" s="91">
        <v>489248628</v>
      </c>
      <c r="E207" s="15">
        <v>817000000</v>
      </c>
      <c r="F207" s="91">
        <v>259347634.6</v>
      </c>
      <c r="G207" s="16">
        <v>53.009373916936156</v>
      </c>
      <c r="H207" s="16">
        <v>31.74389652386781</v>
      </c>
      <c r="I207" s="16">
        <v>4.474883099042069</v>
      </c>
    </row>
    <row r="208" spans="1:9" ht="12.75">
      <c r="A208" s="28"/>
      <c r="C208" s="29" t="s">
        <v>340</v>
      </c>
      <c r="D208" s="89"/>
      <c r="F208" s="89"/>
      <c r="G208" s="26"/>
      <c r="H208" s="26"/>
      <c r="I208" s="26"/>
    </row>
    <row r="209" spans="1:9" ht="12.75" customHeight="1">
      <c r="A209" s="28"/>
      <c r="C209" s="29"/>
      <c r="D209" s="89"/>
      <c r="F209" s="89"/>
      <c r="G209" s="26"/>
      <c r="H209" s="26"/>
      <c r="I209" s="26"/>
    </row>
    <row r="210" spans="1:9" s="31" customFormat="1" ht="12.75">
      <c r="A210" s="30">
        <v>720</v>
      </c>
      <c r="C210" s="31" t="s">
        <v>341</v>
      </c>
      <c r="D210" s="87">
        <v>150128689</v>
      </c>
      <c r="E210" s="32">
        <v>338000000</v>
      </c>
      <c r="F210" s="87">
        <v>153314370.2</v>
      </c>
      <c r="G210" s="22">
        <v>102.12196697461336</v>
      </c>
      <c r="H210" s="22">
        <v>45.359281124260356</v>
      </c>
      <c r="I210" s="22">
        <v>2.645344674557749</v>
      </c>
    </row>
    <row r="211" spans="1:9" s="31" customFormat="1" ht="12.75">
      <c r="A211" s="30">
        <v>7200</v>
      </c>
      <c r="C211" s="31" t="s">
        <v>342</v>
      </c>
      <c r="D211" s="87">
        <v>150128689</v>
      </c>
      <c r="E211" s="32">
        <v>338000000</v>
      </c>
      <c r="F211" s="87">
        <v>153187870.2</v>
      </c>
      <c r="G211" s="22">
        <v>102.03770593107623</v>
      </c>
      <c r="H211" s="22">
        <v>45.321855088757395</v>
      </c>
      <c r="I211" s="22">
        <v>2.6431619952635965</v>
      </c>
    </row>
    <row r="212" spans="1:9" s="36" customFormat="1" ht="12.75" customHeight="1">
      <c r="A212" s="35" t="s">
        <v>343</v>
      </c>
      <c r="C212" s="36" t="s">
        <v>344</v>
      </c>
      <c r="D212" s="88"/>
      <c r="E212" s="37">
        <v>40000000</v>
      </c>
      <c r="F212" s="88">
        <v>1099881</v>
      </c>
      <c r="G212" s="39"/>
      <c r="H212" s="39">
        <v>2.7497025</v>
      </c>
      <c r="I212" s="39">
        <v>0.01897776667772041</v>
      </c>
    </row>
    <row r="213" spans="1:9" s="36" customFormat="1" ht="12.75" customHeight="1">
      <c r="A213" s="35" t="s">
        <v>345</v>
      </c>
      <c r="C213" s="36" t="s">
        <v>346</v>
      </c>
      <c r="D213" s="88">
        <v>149400653</v>
      </c>
      <c r="E213" s="37">
        <v>280000000</v>
      </c>
      <c r="F213" s="88">
        <v>152087989.2</v>
      </c>
      <c r="G213" s="39">
        <v>101.79874461459013</v>
      </c>
      <c r="H213" s="39">
        <v>54.31713899999999</v>
      </c>
      <c r="I213" s="39">
        <v>2.6241842285858756</v>
      </c>
    </row>
    <row r="214" spans="1:9" s="36" customFormat="1" ht="12.75" customHeight="1">
      <c r="A214" s="35" t="s">
        <v>347</v>
      </c>
      <c r="C214" s="36" t="s">
        <v>348</v>
      </c>
      <c r="D214" s="88">
        <v>728036</v>
      </c>
      <c r="E214" s="37">
        <v>18000000</v>
      </c>
      <c r="F214" s="88">
        <v>0</v>
      </c>
      <c r="G214" s="39">
        <v>0</v>
      </c>
      <c r="H214" s="39">
        <v>0</v>
      </c>
      <c r="I214" s="39">
        <v>0</v>
      </c>
    </row>
    <row r="215" spans="1:9" s="99" customFormat="1" ht="12.75" customHeight="1">
      <c r="A215" s="98">
        <v>7201</v>
      </c>
      <c r="C215" s="99" t="s">
        <v>582</v>
      </c>
      <c r="D215" s="100">
        <v>0</v>
      </c>
      <c r="E215" s="33">
        <v>0</v>
      </c>
      <c r="F215" s="100">
        <v>30000</v>
      </c>
      <c r="G215" s="22"/>
      <c r="H215" s="22"/>
      <c r="I215" s="22">
        <v>0.0005176314531586711</v>
      </c>
    </row>
    <row r="216" spans="1:9" s="36" customFormat="1" ht="12.75" customHeight="1">
      <c r="A216" s="35">
        <v>720100</v>
      </c>
      <c r="C216" s="36" t="s">
        <v>583</v>
      </c>
      <c r="D216" s="88"/>
      <c r="E216" s="37"/>
      <c r="F216" s="88">
        <v>30000</v>
      </c>
      <c r="G216" s="39"/>
      <c r="H216" s="39"/>
      <c r="I216" s="39">
        <v>0.0005176314531586711</v>
      </c>
    </row>
    <row r="217" spans="1:9" s="99" customFormat="1" ht="12.75" customHeight="1">
      <c r="A217" s="98">
        <v>7202</v>
      </c>
      <c r="C217" s="99" t="s">
        <v>608</v>
      </c>
      <c r="D217" s="100">
        <v>0</v>
      </c>
      <c r="E217" s="33">
        <v>0</v>
      </c>
      <c r="F217" s="100">
        <v>96500</v>
      </c>
      <c r="G217" s="22"/>
      <c r="H217" s="22"/>
      <c r="I217" s="22">
        <v>0.0016650478409937254</v>
      </c>
    </row>
    <row r="218" spans="1:9" s="36" customFormat="1" ht="12.75" customHeight="1">
      <c r="A218" s="35">
        <v>720299</v>
      </c>
      <c r="C218" s="36" t="s">
        <v>593</v>
      </c>
      <c r="D218" s="88"/>
      <c r="E218" s="33"/>
      <c r="F218" s="88">
        <v>96500</v>
      </c>
      <c r="G218" s="39"/>
      <c r="H218" s="39"/>
      <c r="I218" s="39">
        <v>0.0016650478409937254</v>
      </c>
    </row>
    <row r="219" spans="1:9" ht="12.75" customHeight="1">
      <c r="A219" s="28"/>
      <c r="D219" s="89"/>
      <c r="E219" s="37"/>
      <c r="F219" s="89"/>
      <c r="G219" s="26"/>
      <c r="H219" s="26"/>
      <c r="I219" s="26"/>
    </row>
    <row r="220" spans="1:9" s="31" customFormat="1" ht="12.75">
      <c r="A220" s="30">
        <v>722</v>
      </c>
      <c r="C220" s="31" t="s">
        <v>349</v>
      </c>
      <c r="D220" s="87">
        <v>339119939</v>
      </c>
      <c r="E220" s="32">
        <v>479000000</v>
      </c>
      <c r="F220" s="87">
        <v>106033264.4</v>
      </c>
      <c r="G220" s="22">
        <v>31.267186681111074</v>
      </c>
      <c r="H220" s="22">
        <v>22.13638087682672</v>
      </c>
      <c r="I220" s="22">
        <v>1.82953842448432</v>
      </c>
    </row>
    <row r="221" spans="1:9" s="31" customFormat="1" ht="12.75">
      <c r="A221" s="30">
        <v>7221</v>
      </c>
      <c r="C221" s="31" t="s">
        <v>350</v>
      </c>
      <c r="D221" s="87">
        <v>339119939</v>
      </c>
      <c r="E221" s="32">
        <v>479000000</v>
      </c>
      <c r="F221" s="87">
        <v>106033264.4</v>
      </c>
      <c r="G221" s="22">
        <v>31.267186681111074</v>
      </c>
      <c r="H221" s="22">
        <v>22.13638087682672</v>
      </c>
      <c r="I221" s="22">
        <v>1.82953842448432</v>
      </c>
    </row>
    <row r="222" spans="1:9" s="36" customFormat="1" ht="12.75" customHeight="1">
      <c r="A222" s="35" t="s">
        <v>351</v>
      </c>
      <c r="C222" s="36" t="s">
        <v>350</v>
      </c>
      <c r="D222" s="88">
        <v>339119939</v>
      </c>
      <c r="E222" s="37">
        <v>479000000</v>
      </c>
      <c r="F222" s="88">
        <v>106033264.4</v>
      </c>
      <c r="G222" s="39">
        <v>31.267186681111074</v>
      </c>
      <c r="H222" s="39">
        <v>22.13638087682672</v>
      </c>
      <c r="I222" s="39">
        <v>1.82953842448432</v>
      </c>
    </row>
    <row r="223" spans="1:9" s="43" customFormat="1" ht="12.75" customHeight="1">
      <c r="A223" s="41" t="s">
        <v>352</v>
      </c>
      <c r="B223" s="42"/>
      <c r="C223" s="43" t="s">
        <v>353</v>
      </c>
      <c r="D223" s="90">
        <v>339119939</v>
      </c>
      <c r="E223" s="52">
        <v>479000000</v>
      </c>
      <c r="F223" s="90">
        <v>106033264.4</v>
      </c>
      <c r="G223" s="45">
        <v>31.267186681111074</v>
      </c>
      <c r="H223" s="45">
        <v>22.13638087682672</v>
      </c>
      <c r="I223" s="45">
        <v>1.82953842448432</v>
      </c>
    </row>
    <row r="224" spans="1:9" s="43" customFormat="1" ht="11.25" hidden="1">
      <c r="A224" s="41" t="s">
        <v>354</v>
      </c>
      <c r="B224" s="42"/>
      <c r="C224" s="43" t="s">
        <v>355</v>
      </c>
      <c r="D224" s="90">
        <v>479000000</v>
      </c>
      <c r="E224" s="44">
        <v>479000000</v>
      </c>
      <c r="F224" s="90"/>
      <c r="G224" s="45">
        <v>0</v>
      </c>
      <c r="H224" s="45">
        <v>0</v>
      </c>
      <c r="I224" s="45">
        <v>0</v>
      </c>
    </row>
    <row r="225" spans="1:9" s="43" customFormat="1" ht="11.25" hidden="1">
      <c r="A225" s="41" t="s">
        <v>356</v>
      </c>
      <c r="B225" s="42"/>
      <c r="C225" s="43" t="s">
        <v>357</v>
      </c>
      <c r="D225" s="90"/>
      <c r="F225" s="90"/>
      <c r="G225" s="45" t="e">
        <v>#DIV/0!</v>
      </c>
      <c r="H225" s="45" t="e">
        <v>#DIV/0!</v>
      </c>
      <c r="I225" s="45">
        <v>0</v>
      </c>
    </row>
    <row r="226" spans="1:9" ht="12.75" customHeight="1">
      <c r="A226" s="28"/>
      <c r="D226" s="89"/>
      <c r="F226" s="89"/>
      <c r="G226" s="26"/>
      <c r="H226" s="26"/>
      <c r="I226" s="26"/>
    </row>
    <row r="227" spans="1:9" s="47" customFormat="1" ht="15.75">
      <c r="A227" s="46">
        <v>73</v>
      </c>
      <c r="C227" s="47" t="s">
        <v>615</v>
      </c>
      <c r="D227" s="91">
        <v>0</v>
      </c>
      <c r="E227" s="15">
        <v>30843000</v>
      </c>
      <c r="F227" s="91">
        <v>12864456.99</v>
      </c>
      <c r="G227" s="16"/>
      <c r="H227" s="16">
        <v>41.70948672308141</v>
      </c>
      <c r="I227" s="16">
        <v>0.22196825219436417</v>
      </c>
    </row>
    <row r="228" spans="1:9" ht="12.75" customHeight="1">
      <c r="A228" s="28"/>
      <c r="D228" s="89"/>
      <c r="F228" s="89"/>
      <c r="G228" s="26"/>
      <c r="H228" s="26"/>
      <c r="I228" s="26"/>
    </row>
    <row r="229" spans="1:9" s="31" customFormat="1" ht="12.75">
      <c r="A229" s="30">
        <v>731</v>
      </c>
      <c r="C229" s="31" t="s">
        <v>359</v>
      </c>
      <c r="D229" s="87">
        <v>0</v>
      </c>
      <c r="E229" s="32">
        <v>30843000</v>
      </c>
      <c r="F229" s="87">
        <v>12864456.99</v>
      </c>
      <c r="G229" s="22"/>
      <c r="H229" s="22">
        <v>41.70948672308141</v>
      </c>
      <c r="I229" s="22">
        <v>0.22196825219436417</v>
      </c>
    </row>
    <row r="230" spans="1:9" s="31" customFormat="1" ht="12.75">
      <c r="A230" s="30">
        <v>7310</v>
      </c>
      <c r="C230" s="31" t="s">
        <v>360</v>
      </c>
      <c r="D230" s="87">
        <v>0</v>
      </c>
      <c r="E230" s="32">
        <v>30843000</v>
      </c>
      <c r="F230" s="87">
        <v>12864456.99</v>
      </c>
      <c r="G230" s="22"/>
      <c r="H230" s="22">
        <v>41.70948672308141</v>
      </c>
      <c r="I230" s="22">
        <v>0.22196825219436417</v>
      </c>
    </row>
    <row r="231" spans="1:9" s="36" customFormat="1" ht="12.75" customHeight="1">
      <c r="A231" s="35" t="s">
        <v>361</v>
      </c>
      <c r="C231" s="36" t="s">
        <v>362</v>
      </c>
      <c r="D231" s="88"/>
      <c r="E231" s="37">
        <v>30843000</v>
      </c>
      <c r="F231" s="88">
        <v>12864456.99</v>
      </c>
      <c r="G231" s="39"/>
      <c r="H231" s="39">
        <v>41.70948672308141</v>
      </c>
      <c r="I231" s="39">
        <v>0.22196825219436417</v>
      </c>
    </row>
    <row r="232" spans="1:9" s="36" customFormat="1" ht="12.75" customHeight="1" hidden="1">
      <c r="A232" s="35"/>
      <c r="D232" s="88"/>
      <c r="E232" s="37"/>
      <c r="F232" s="88"/>
      <c r="G232" s="39"/>
      <c r="H232" s="39"/>
      <c r="I232" s="39"/>
    </row>
    <row r="233" spans="1:9" ht="12.75" customHeight="1">
      <c r="A233" s="28"/>
      <c r="D233" s="89"/>
      <c r="F233" s="89"/>
      <c r="G233" s="26"/>
      <c r="H233" s="26"/>
      <c r="I233" s="26"/>
    </row>
    <row r="234" spans="1:9" s="47" customFormat="1" ht="15.75">
      <c r="A234" s="46">
        <v>74</v>
      </c>
      <c r="C234" s="47" t="s">
        <v>363</v>
      </c>
      <c r="D234" s="91">
        <v>340857717</v>
      </c>
      <c r="E234" s="15">
        <v>918334550</v>
      </c>
      <c r="F234" s="91">
        <v>274025174.13</v>
      </c>
      <c r="G234" s="16">
        <v>80.39283268742892</v>
      </c>
      <c r="H234" s="16">
        <v>29.839362368539874</v>
      </c>
      <c r="I234" s="16">
        <v>4.72813496956566</v>
      </c>
    </row>
    <row r="235" spans="1:9" ht="12.75" customHeight="1">
      <c r="A235" s="28"/>
      <c r="D235" s="89"/>
      <c r="F235" s="89"/>
      <c r="G235" s="26"/>
      <c r="H235" s="26"/>
      <c r="I235" s="26"/>
    </row>
    <row r="236" spans="1:9" s="31" customFormat="1" ht="12.75">
      <c r="A236" s="30">
        <v>740</v>
      </c>
      <c r="C236" s="31" t="s">
        <v>364</v>
      </c>
      <c r="D236" s="87">
        <v>340857717</v>
      </c>
      <c r="E236" s="32">
        <v>918334550</v>
      </c>
      <c r="F236" s="87">
        <v>274025174.13</v>
      </c>
      <c r="G236" s="22">
        <v>80.39283268742892</v>
      </c>
      <c r="H236" s="22">
        <v>29.839362368539874</v>
      </c>
      <c r="I236" s="22">
        <v>4.72813496956566</v>
      </c>
    </row>
    <row r="237" spans="1:9" s="31" customFormat="1" ht="12.75">
      <c r="A237" s="30"/>
      <c r="C237" s="31" t="s">
        <v>365</v>
      </c>
      <c r="D237" s="87"/>
      <c r="E237" s="32"/>
      <c r="F237" s="87"/>
      <c r="G237" s="34"/>
      <c r="H237" s="34"/>
      <c r="I237" s="34"/>
    </row>
    <row r="238" spans="1:9" s="31" customFormat="1" ht="12.75">
      <c r="A238" s="30">
        <v>7400</v>
      </c>
      <c r="C238" s="31" t="s">
        <v>366</v>
      </c>
      <c r="D238" s="87">
        <v>337029871</v>
      </c>
      <c r="E238" s="32">
        <v>733291000</v>
      </c>
      <c r="F238" s="87">
        <v>247560839.1</v>
      </c>
      <c r="G238" s="22">
        <v>73.45367885803807</v>
      </c>
      <c r="H238" s="22">
        <v>33.760245127786916</v>
      </c>
      <c r="I238" s="22">
        <v>4.271509229617099</v>
      </c>
    </row>
    <row r="239" spans="1:9" s="36" customFormat="1" ht="12.75" customHeight="1">
      <c r="A239" s="35" t="s">
        <v>367</v>
      </c>
      <c r="C239" s="36" t="s">
        <v>368</v>
      </c>
      <c r="D239" s="88">
        <v>326494358</v>
      </c>
      <c r="E239" s="37">
        <v>447910000</v>
      </c>
      <c r="F239" s="88">
        <v>227129000</v>
      </c>
      <c r="G239" s="39">
        <v>69.56598006511341</v>
      </c>
      <c r="H239" s="39">
        <v>50.708624500457674</v>
      </c>
      <c r="I239" s="39">
        <v>3.918970477482527</v>
      </c>
    </row>
    <row r="240" spans="1:9" s="43" customFormat="1" ht="12.75" customHeight="1">
      <c r="A240" s="41" t="s">
        <v>369</v>
      </c>
      <c r="B240" s="42"/>
      <c r="C240" s="43" t="s">
        <v>370</v>
      </c>
      <c r="D240" s="90">
        <v>128799358</v>
      </c>
      <c r="E240" s="44">
        <v>6347000</v>
      </c>
      <c r="F240" s="90">
        <v>6347000</v>
      </c>
      <c r="G240" s="45">
        <v>4.927819593634931</v>
      </c>
      <c r="H240" s="45">
        <v>100</v>
      </c>
      <c r="I240" s="45">
        <v>0.10951356110660286</v>
      </c>
    </row>
    <row r="241" spans="1:9" s="43" customFormat="1" ht="11.25">
      <c r="A241" s="41" t="s">
        <v>371</v>
      </c>
      <c r="B241" s="42"/>
      <c r="C241" s="43" t="s">
        <v>372</v>
      </c>
      <c r="D241" s="90">
        <v>197695000</v>
      </c>
      <c r="E241" s="44">
        <v>441563000</v>
      </c>
      <c r="F241" s="90">
        <v>220782000</v>
      </c>
      <c r="G241" s="45">
        <v>111.67808998710133</v>
      </c>
      <c r="H241" s="45">
        <v>50.000113234125145</v>
      </c>
      <c r="I241" s="45">
        <v>3.8094569163759244</v>
      </c>
    </row>
    <row r="242" spans="1:9" s="36" customFormat="1" ht="12.75" customHeight="1">
      <c r="A242" s="35" t="s">
        <v>373</v>
      </c>
      <c r="C242" s="36" t="s">
        <v>374</v>
      </c>
      <c r="D242" s="88">
        <v>6085098</v>
      </c>
      <c r="E242" s="37">
        <v>259771000</v>
      </c>
      <c r="F242" s="88">
        <v>10963202</v>
      </c>
      <c r="G242" s="39">
        <v>180.16475659060873</v>
      </c>
      <c r="H242" s="39">
        <v>4.220333293554708</v>
      </c>
      <c r="I242" s="39">
        <v>0.18916327275106834</v>
      </c>
    </row>
    <row r="243" spans="1:9" s="43" customFormat="1" ht="12.75" customHeight="1">
      <c r="A243" s="41" t="s">
        <v>375</v>
      </c>
      <c r="B243" s="42"/>
      <c r="C243" s="43" t="s">
        <v>376</v>
      </c>
      <c r="D243" s="90"/>
      <c r="E243" s="44">
        <v>10000000</v>
      </c>
      <c r="F243" s="90">
        <v>0</v>
      </c>
      <c r="G243" s="45"/>
      <c r="H243" s="45">
        <v>0</v>
      </c>
      <c r="I243" s="45">
        <v>0</v>
      </c>
    </row>
    <row r="244" spans="1:9" s="43" customFormat="1" ht="11.25">
      <c r="A244" s="41" t="s">
        <v>377</v>
      </c>
      <c r="B244" s="42"/>
      <c r="C244" s="43" t="s">
        <v>378</v>
      </c>
      <c r="D244" s="90"/>
      <c r="E244" s="44">
        <v>57000000</v>
      </c>
      <c r="F244" s="90">
        <v>0</v>
      </c>
      <c r="G244" s="45"/>
      <c r="H244" s="45">
        <v>0</v>
      </c>
      <c r="I244" s="45">
        <v>0</v>
      </c>
    </row>
    <row r="245" spans="1:9" s="43" customFormat="1" ht="11.25">
      <c r="A245" s="41" t="s">
        <v>379</v>
      </c>
      <c r="B245" s="42"/>
      <c r="C245" s="43" t="s">
        <v>380</v>
      </c>
      <c r="D245" s="90"/>
      <c r="E245" s="44">
        <v>4000000</v>
      </c>
      <c r="F245" s="90">
        <v>0</v>
      </c>
      <c r="G245" s="45"/>
      <c r="H245" s="45">
        <v>0</v>
      </c>
      <c r="I245" s="45">
        <v>0</v>
      </c>
    </row>
    <row r="246" spans="1:9" s="43" customFormat="1" ht="11.25">
      <c r="A246" s="41" t="s">
        <v>381</v>
      </c>
      <c r="B246" s="42"/>
      <c r="C246" s="43" t="s">
        <v>382</v>
      </c>
      <c r="D246" s="90"/>
      <c r="E246" s="44">
        <v>22757500</v>
      </c>
      <c r="F246" s="90">
        <v>0</v>
      </c>
      <c r="G246" s="39"/>
      <c r="H246" s="39">
        <v>0</v>
      </c>
      <c r="I246" s="39">
        <v>0</v>
      </c>
    </row>
    <row r="247" spans="1:9" s="43" customFormat="1" ht="11.25" hidden="1">
      <c r="A247" s="41" t="s">
        <v>383</v>
      </c>
      <c r="B247" s="42"/>
      <c r="C247" s="43" t="s">
        <v>384</v>
      </c>
      <c r="D247" s="90"/>
      <c r="E247" s="44"/>
      <c r="F247" s="90"/>
      <c r="G247" s="39"/>
      <c r="H247" s="39" t="e">
        <v>#DIV/0!</v>
      </c>
      <c r="I247" s="39">
        <v>0</v>
      </c>
    </row>
    <row r="248" spans="1:9" s="43" customFormat="1" ht="11.25">
      <c r="A248" s="41" t="s">
        <v>385</v>
      </c>
      <c r="B248" s="42"/>
      <c r="C248" s="43" t="s">
        <v>386</v>
      </c>
      <c r="D248" s="90"/>
      <c r="E248" s="44">
        <v>16000000</v>
      </c>
      <c r="F248" s="90">
        <v>0</v>
      </c>
      <c r="G248" s="45"/>
      <c r="H248" s="45">
        <v>0</v>
      </c>
      <c r="I248" s="45">
        <v>0</v>
      </c>
    </row>
    <row r="249" spans="1:9" s="43" customFormat="1" ht="11.25" hidden="1">
      <c r="A249" s="41" t="s">
        <v>387</v>
      </c>
      <c r="B249" s="42"/>
      <c r="C249" s="43" t="s">
        <v>388</v>
      </c>
      <c r="D249" s="90"/>
      <c r="F249" s="90"/>
      <c r="G249" s="45" t="e">
        <v>#DIV/0!</v>
      </c>
      <c r="H249" s="45"/>
      <c r="I249" s="45">
        <v>0</v>
      </c>
    </row>
    <row r="250" spans="1:9" s="43" customFormat="1" ht="11.25">
      <c r="A250" s="41" t="s">
        <v>389</v>
      </c>
      <c r="B250" s="42"/>
      <c r="C250" s="43" t="s">
        <v>390</v>
      </c>
      <c r="D250" s="90">
        <v>2405905</v>
      </c>
      <c r="E250" s="44">
        <v>142000000</v>
      </c>
      <c r="F250" s="90">
        <v>1933912</v>
      </c>
      <c r="G250" s="45">
        <v>80.3818937156704</v>
      </c>
      <c r="H250" s="45">
        <v>1.3619098591549295</v>
      </c>
      <c r="I250" s="45">
        <v>0.0333684559613664</v>
      </c>
    </row>
    <row r="251" spans="1:9" s="43" customFormat="1" ht="11.25">
      <c r="A251" s="41" t="s">
        <v>391</v>
      </c>
      <c r="B251" s="42"/>
      <c r="C251" s="43" t="s">
        <v>599</v>
      </c>
      <c r="D251" s="90">
        <v>3679193</v>
      </c>
      <c r="F251" s="90">
        <v>1015790</v>
      </c>
      <c r="G251" s="45">
        <v>27.60904361364027</v>
      </c>
      <c r="H251" s="45"/>
      <c r="I251" s="45">
        <v>0.017526828460134886</v>
      </c>
    </row>
    <row r="252" spans="1:9" s="43" customFormat="1" ht="11.25" hidden="1">
      <c r="A252" s="41" t="s">
        <v>392</v>
      </c>
      <c r="B252" s="42"/>
      <c r="C252" s="43" t="s">
        <v>393</v>
      </c>
      <c r="D252" s="90"/>
      <c r="F252" s="90"/>
      <c r="G252" s="45" t="e">
        <v>#DIV/0!</v>
      </c>
      <c r="H252" s="45"/>
      <c r="I252" s="45">
        <v>0</v>
      </c>
    </row>
    <row r="253" spans="1:9" s="43" customFormat="1" ht="11.25">
      <c r="A253" s="41" t="s">
        <v>394</v>
      </c>
      <c r="B253" s="42"/>
      <c r="C253" s="43" t="s">
        <v>395</v>
      </c>
      <c r="D253" s="90"/>
      <c r="E253" s="44">
        <v>8013500</v>
      </c>
      <c r="F253" s="90">
        <v>8013500</v>
      </c>
      <c r="G253" s="39"/>
      <c r="H253" s="39">
        <v>100</v>
      </c>
      <c r="I253" s="39">
        <v>0.13826798832956702</v>
      </c>
    </row>
    <row r="254" spans="1:9" s="36" customFormat="1" ht="12.75" customHeight="1">
      <c r="A254" s="35" t="s">
        <v>396</v>
      </c>
      <c r="C254" s="36" t="s">
        <v>397</v>
      </c>
      <c r="D254" s="88">
        <v>4450415</v>
      </c>
      <c r="E254" s="37">
        <v>25610000</v>
      </c>
      <c r="F254" s="88">
        <v>9468637.1</v>
      </c>
      <c r="G254" s="39">
        <v>212.75852027282846</v>
      </c>
      <c r="H254" s="39">
        <v>36.97242131979696</v>
      </c>
      <c r="I254" s="39">
        <v>0.1633754793835035</v>
      </c>
    </row>
    <row r="255" spans="1:9" s="43" customFormat="1" ht="12.75" customHeight="1" hidden="1">
      <c r="A255" s="41" t="s">
        <v>398</v>
      </c>
      <c r="B255" s="42"/>
      <c r="C255" s="43" t="s">
        <v>399</v>
      </c>
      <c r="D255" s="90"/>
      <c r="F255" s="90"/>
      <c r="G255" s="39" t="e">
        <v>#DIV/0!</v>
      </c>
      <c r="H255" s="39" t="e">
        <v>#DIV/0!</v>
      </c>
      <c r="I255" s="39">
        <v>0</v>
      </c>
    </row>
    <row r="256" spans="1:9" s="43" customFormat="1" ht="11.25">
      <c r="A256" s="41" t="s">
        <v>400</v>
      </c>
      <c r="B256" s="42"/>
      <c r="C256" s="43" t="s">
        <v>401</v>
      </c>
      <c r="D256" s="90">
        <v>4450415</v>
      </c>
      <c r="E256" s="44">
        <v>15700000</v>
      </c>
      <c r="F256" s="90">
        <v>4518637.1</v>
      </c>
      <c r="G256" s="45">
        <v>101.53293793949551</v>
      </c>
      <c r="H256" s="45">
        <v>28.781128025477702</v>
      </c>
      <c r="I256" s="45">
        <v>0.07796628961232278</v>
      </c>
    </row>
    <row r="257" spans="1:9" s="43" customFormat="1" ht="11.25" hidden="1">
      <c r="A257" s="41" t="s">
        <v>402</v>
      </c>
      <c r="B257" s="42"/>
      <c r="C257" s="43" t="s">
        <v>403</v>
      </c>
      <c r="D257" s="90"/>
      <c r="E257" s="44"/>
      <c r="F257" s="90"/>
      <c r="G257" s="45" t="e">
        <v>#DIV/0!</v>
      </c>
      <c r="H257" s="45" t="e">
        <v>#DIV/0!</v>
      </c>
      <c r="I257" s="45">
        <v>0</v>
      </c>
    </row>
    <row r="258" spans="1:9" s="43" customFormat="1" ht="11.25">
      <c r="A258" s="41" t="s">
        <v>404</v>
      </c>
      <c r="B258" s="42"/>
      <c r="C258" s="43" t="s">
        <v>405</v>
      </c>
      <c r="D258" s="90"/>
      <c r="E258" s="44">
        <v>4950000</v>
      </c>
      <c r="F258" s="90">
        <v>4950000</v>
      </c>
      <c r="G258" s="45"/>
      <c r="H258" s="45">
        <v>100</v>
      </c>
      <c r="I258" s="45">
        <v>0.08540918977118074</v>
      </c>
    </row>
    <row r="259" spans="1:9" s="43" customFormat="1" ht="11.25">
      <c r="A259" s="41" t="s">
        <v>406</v>
      </c>
      <c r="B259" s="42"/>
      <c r="C259" s="43" t="s">
        <v>407</v>
      </c>
      <c r="D259" s="90"/>
      <c r="E259" s="44">
        <v>3000000</v>
      </c>
      <c r="F259" s="90">
        <v>0</v>
      </c>
      <c r="G259" s="45"/>
      <c r="H259" s="45">
        <v>0</v>
      </c>
      <c r="I259" s="45">
        <v>0</v>
      </c>
    </row>
    <row r="260" spans="1:9" s="43" customFormat="1" ht="11.25" hidden="1">
      <c r="A260" s="41" t="s">
        <v>408</v>
      </c>
      <c r="B260" s="42"/>
      <c r="C260" s="43" t="s">
        <v>409</v>
      </c>
      <c r="D260" s="90"/>
      <c r="E260" s="44"/>
      <c r="F260" s="90"/>
      <c r="G260" s="45"/>
      <c r="H260" s="45" t="e">
        <v>#DIV/0!</v>
      </c>
      <c r="I260" s="45">
        <v>0</v>
      </c>
    </row>
    <row r="261" spans="1:9" s="43" customFormat="1" ht="11.25" hidden="1">
      <c r="A261" s="41" t="s">
        <v>410</v>
      </c>
      <c r="B261" s="42"/>
      <c r="C261" s="43" t="s">
        <v>411</v>
      </c>
      <c r="D261" s="90"/>
      <c r="F261" s="90"/>
      <c r="G261" s="45"/>
      <c r="H261" s="45" t="e">
        <v>#DIV/0!</v>
      </c>
      <c r="I261" s="45">
        <v>0</v>
      </c>
    </row>
    <row r="262" spans="1:9" s="43" customFormat="1" ht="11.25" hidden="1">
      <c r="A262" s="41" t="s">
        <v>412</v>
      </c>
      <c r="B262" s="42"/>
      <c r="C262" s="43" t="s">
        <v>413</v>
      </c>
      <c r="D262" s="90"/>
      <c r="E262" s="44"/>
      <c r="F262" s="90"/>
      <c r="G262" s="45"/>
      <c r="H262" s="45" t="e">
        <v>#DIV/0!</v>
      </c>
      <c r="I262" s="45">
        <v>0</v>
      </c>
    </row>
    <row r="263" spans="1:9" s="43" customFormat="1" ht="11.25">
      <c r="A263" s="41">
        <v>74000408</v>
      </c>
      <c r="B263" s="42"/>
      <c r="C263" s="43" t="s">
        <v>603</v>
      </c>
      <c r="D263" s="90"/>
      <c r="E263" s="44">
        <v>1960000</v>
      </c>
      <c r="F263" s="90">
        <v>0</v>
      </c>
      <c r="G263" s="45"/>
      <c r="H263" s="45">
        <v>0</v>
      </c>
      <c r="I263" s="45">
        <v>0</v>
      </c>
    </row>
    <row r="264" spans="1:9" s="36" customFormat="1" ht="12" customHeight="1">
      <c r="A264" s="8"/>
      <c r="D264" s="88"/>
      <c r="F264" s="88"/>
      <c r="G264" s="39"/>
      <c r="H264" s="39"/>
      <c r="I264" s="39"/>
    </row>
    <row r="265" spans="1:9" s="31" customFormat="1" ht="12.75">
      <c r="A265" s="30">
        <v>7401</v>
      </c>
      <c r="C265" s="31" t="s">
        <v>414</v>
      </c>
      <c r="D265" s="87">
        <v>3827846</v>
      </c>
      <c r="E265" s="32">
        <v>185043550</v>
      </c>
      <c r="F265" s="87">
        <v>26464335.03</v>
      </c>
      <c r="G265" s="22">
        <v>691.3636293100611</v>
      </c>
      <c r="H265" s="22">
        <v>14.301679269555734</v>
      </c>
      <c r="I265" s="22">
        <v>0.4566257399485608</v>
      </c>
    </row>
    <row r="266" spans="1:9" s="36" customFormat="1" ht="12.75" customHeight="1">
      <c r="A266" s="35" t="s">
        <v>415</v>
      </c>
      <c r="C266" s="36" t="s">
        <v>416</v>
      </c>
      <c r="D266" s="88">
        <v>411000</v>
      </c>
      <c r="E266" s="37">
        <v>86822200</v>
      </c>
      <c r="F266" s="88">
        <v>4089449.78</v>
      </c>
      <c r="G266" s="39">
        <v>994.9999464720195</v>
      </c>
      <c r="H266" s="39">
        <v>4.710143004899668</v>
      </c>
      <c r="I266" s="39">
        <v>0.07056092774136026</v>
      </c>
    </row>
    <row r="267" spans="1:9" s="43" customFormat="1" ht="12.75" customHeight="1">
      <c r="A267" s="41" t="s">
        <v>605</v>
      </c>
      <c r="B267" s="42"/>
      <c r="C267" s="43" t="s">
        <v>417</v>
      </c>
      <c r="D267" s="90">
        <v>411000</v>
      </c>
      <c r="E267" s="44">
        <v>350000</v>
      </c>
      <c r="F267" s="90">
        <v>0</v>
      </c>
      <c r="G267" s="45">
        <v>0</v>
      </c>
      <c r="H267" s="45">
        <v>0</v>
      </c>
      <c r="I267" s="45">
        <v>0</v>
      </c>
    </row>
    <row r="268" spans="1:9" s="43" customFormat="1" ht="11.25">
      <c r="A268" s="41" t="s">
        <v>606</v>
      </c>
      <c r="B268" s="42"/>
      <c r="C268" s="43" t="s">
        <v>418</v>
      </c>
      <c r="D268" s="90"/>
      <c r="E268" s="44">
        <v>86472200</v>
      </c>
      <c r="F268" s="90">
        <v>4089449.78</v>
      </c>
      <c r="G268" s="45"/>
      <c r="H268" s="45">
        <v>4.729207514091234</v>
      </c>
      <c r="I268" s="45">
        <v>0.07056092774136026</v>
      </c>
    </row>
    <row r="269" spans="1:9" s="36" customFormat="1" ht="12.75" customHeight="1">
      <c r="A269" s="35" t="s">
        <v>419</v>
      </c>
      <c r="C269" s="36" t="s">
        <v>420</v>
      </c>
      <c r="D269" s="88">
        <v>3416846</v>
      </c>
      <c r="E269" s="37">
        <v>98221350</v>
      </c>
      <c r="F269" s="88">
        <v>22374885.25</v>
      </c>
      <c r="G269" s="39">
        <v>654.8403191130066</v>
      </c>
      <c r="H269" s="39">
        <v>22.780062837662076</v>
      </c>
      <c r="I269" s="39">
        <v>0.38606481220720057</v>
      </c>
    </row>
    <row r="270" spans="1:9" s="43" customFormat="1" ht="12.75" customHeight="1" hidden="1">
      <c r="A270" s="41" t="s">
        <v>421</v>
      </c>
      <c r="B270" s="42"/>
      <c r="C270" s="43" t="s">
        <v>422</v>
      </c>
      <c r="D270" s="90"/>
      <c r="E270" s="44"/>
      <c r="F270" s="90"/>
      <c r="G270" s="39"/>
      <c r="H270" s="39"/>
      <c r="I270" s="39">
        <v>0</v>
      </c>
    </row>
    <row r="271" spans="1:9" s="43" customFormat="1" ht="11.25">
      <c r="A271" s="41" t="s">
        <v>423</v>
      </c>
      <c r="B271" s="42"/>
      <c r="C271" s="43" t="s">
        <v>424</v>
      </c>
      <c r="D271" s="90"/>
      <c r="E271" s="44">
        <v>50781350</v>
      </c>
      <c r="F271" s="90">
        <v>11410386.57</v>
      </c>
      <c r="G271" s="45"/>
      <c r="H271" s="45">
        <v>22.46964007455493</v>
      </c>
      <c r="I271" s="45">
        <v>0.1968791660443762</v>
      </c>
    </row>
    <row r="272" spans="1:9" s="43" customFormat="1" ht="11.25">
      <c r="A272" s="41" t="s">
        <v>425</v>
      </c>
      <c r="B272" s="42"/>
      <c r="C272" s="43" t="s">
        <v>426</v>
      </c>
      <c r="D272" s="90"/>
      <c r="E272" s="44">
        <v>15600000</v>
      </c>
      <c r="F272" s="90">
        <v>3542080.2</v>
      </c>
      <c r="G272" s="45"/>
      <c r="H272" s="45">
        <v>22.705642307692308</v>
      </c>
      <c r="I272" s="45">
        <v>0.06111640403768522</v>
      </c>
    </row>
    <row r="273" spans="1:9" s="43" customFormat="1" ht="11.25">
      <c r="A273" s="41" t="s">
        <v>427</v>
      </c>
      <c r="B273" s="42"/>
      <c r="C273" s="43" t="s">
        <v>428</v>
      </c>
      <c r="D273" s="90"/>
      <c r="E273" s="44"/>
      <c r="F273" s="90">
        <v>272818.48</v>
      </c>
      <c r="G273" s="45"/>
      <c r="H273" s="45"/>
      <c r="I273" s="45">
        <v>0.004707314208364661</v>
      </c>
    </row>
    <row r="274" spans="1:9" s="43" customFormat="1" ht="11.25">
      <c r="A274" s="41" t="s">
        <v>429</v>
      </c>
      <c r="B274" s="42"/>
      <c r="C274" s="43" t="s">
        <v>430</v>
      </c>
      <c r="D274" s="90">
        <v>3416846</v>
      </c>
      <c r="E274" s="44">
        <v>30000000</v>
      </c>
      <c r="F274" s="90">
        <v>7149600</v>
      </c>
      <c r="G274" s="45">
        <v>209.2456025234968</v>
      </c>
      <c r="H274" s="45">
        <v>23.832</v>
      </c>
      <c r="I274" s="45">
        <v>0.1233619279167745</v>
      </c>
    </row>
    <row r="275" spans="1:9" s="43" customFormat="1" ht="11.25">
      <c r="A275" s="41" t="s">
        <v>431</v>
      </c>
      <c r="B275" s="42"/>
      <c r="C275" s="43" t="s">
        <v>432</v>
      </c>
      <c r="D275" s="90"/>
      <c r="E275" s="44">
        <v>1840000</v>
      </c>
      <c r="F275" s="90">
        <v>0</v>
      </c>
      <c r="G275" s="45"/>
      <c r="H275" s="45">
        <v>0</v>
      </c>
      <c r="I275" s="45">
        <v>0</v>
      </c>
    </row>
    <row r="276" spans="1:9" s="36" customFormat="1" ht="11.25" hidden="1">
      <c r="A276" s="8"/>
      <c r="B276" s="54"/>
      <c r="D276" s="88"/>
      <c r="F276" s="88"/>
      <c r="G276" s="39" t="e">
        <v>#DIV/0!</v>
      </c>
      <c r="H276" s="39"/>
      <c r="I276" s="39"/>
    </row>
    <row r="277" spans="1:9" s="24" customFormat="1" ht="15.75" hidden="1">
      <c r="A277" s="27">
        <v>79</v>
      </c>
      <c r="C277" s="24" t="s">
        <v>433</v>
      </c>
      <c r="D277" s="93">
        <v>2531076066</v>
      </c>
      <c r="F277" s="93"/>
      <c r="G277" s="56">
        <v>0</v>
      </c>
      <c r="H277" s="56"/>
      <c r="I277" s="56"/>
    </row>
    <row r="278" spans="1:9" s="24" customFormat="1" ht="15.75">
      <c r="A278" s="27"/>
      <c r="D278" s="93"/>
      <c r="F278" s="93"/>
      <c r="G278" s="56"/>
      <c r="H278" s="56"/>
      <c r="I278" s="56"/>
    </row>
    <row r="279" spans="1:9" ht="12.75">
      <c r="A279" s="28"/>
      <c r="D279" s="89"/>
      <c r="F279" s="89"/>
      <c r="G279" s="26"/>
      <c r="H279" s="26"/>
      <c r="I279" s="26"/>
    </row>
    <row r="280" spans="1:9" s="47" customFormat="1" ht="15.75">
      <c r="A280" s="46"/>
      <c r="B280" s="57" t="s">
        <v>434</v>
      </c>
      <c r="C280" s="58" t="s">
        <v>435</v>
      </c>
      <c r="D280" s="91">
        <v>5211405872</v>
      </c>
      <c r="E280" s="15">
        <v>16197656975</v>
      </c>
      <c r="F280" s="91">
        <v>5842137917.78</v>
      </c>
      <c r="G280" s="16">
        <v>112.10291543724922</v>
      </c>
      <c r="H280" s="16">
        <v>36.067796267058554</v>
      </c>
      <c r="I280" s="16">
        <v>100</v>
      </c>
    </row>
    <row r="281" spans="1:9" s="47" customFormat="1" ht="15.75" customHeight="1">
      <c r="A281" s="46"/>
      <c r="C281" s="59" t="s">
        <v>436</v>
      </c>
      <c r="D281" s="93"/>
      <c r="F281" s="91"/>
      <c r="G281" s="16"/>
      <c r="H281" s="16"/>
      <c r="I281" s="16"/>
    </row>
    <row r="282" spans="1:9" ht="12" customHeight="1">
      <c r="A282" s="28"/>
      <c r="D282" s="93"/>
      <c r="F282" s="89"/>
      <c r="G282" s="26"/>
      <c r="H282" s="26"/>
      <c r="I282" s="26"/>
    </row>
    <row r="283" spans="1:9" s="47" customFormat="1" ht="15.75" customHeight="1">
      <c r="A283" s="46">
        <v>40</v>
      </c>
      <c r="C283" s="47" t="s">
        <v>437</v>
      </c>
      <c r="D283" s="15"/>
      <c r="E283" s="15">
        <v>2083276025</v>
      </c>
      <c r="F283" s="91">
        <v>930603617.56</v>
      </c>
      <c r="G283" s="16"/>
      <c r="H283" s="16">
        <v>44.670202430808466</v>
      </c>
      <c r="I283" s="16">
        <v>15.92916207485953</v>
      </c>
    </row>
    <row r="284" spans="1:9" s="99" customFormat="1" ht="12.75">
      <c r="A284" s="105"/>
      <c r="C284" s="74" t="s">
        <v>438</v>
      </c>
      <c r="D284" s="100"/>
      <c r="E284" s="25"/>
      <c r="F284" s="100"/>
      <c r="G284" s="22"/>
      <c r="H284" s="22"/>
      <c r="I284" s="22"/>
    </row>
    <row r="285" spans="1:9" s="20" customFormat="1" ht="12.75" customHeight="1">
      <c r="A285" s="60"/>
      <c r="D285" s="100"/>
      <c r="E285" s="25"/>
      <c r="F285" s="94"/>
      <c r="G285" s="23"/>
      <c r="H285" s="23"/>
      <c r="I285" s="23"/>
    </row>
    <row r="286" spans="1:9" s="31" customFormat="1" ht="12.75">
      <c r="A286" s="30">
        <v>400</v>
      </c>
      <c r="C286" s="31" t="s">
        <v>439</v>
      </c>
      <c r="D286" s="32"/>
      <c r="E286" s="32">
        <v>777983098</v>
      </c>
      <c r="F286" s="87">
        <v>372363335.1</v>
      </c>
      <c r="G286" s="34"/>
      <c r="H286" s="34">
        <v>47.8626510083899</v>
      </c>
      <c r="I286" s="34">
        <v>6.373751190754108</v>
      </c>
    </row>
    <row r="287" spans="1:9" s="36" customFormat="1" ht="11.25">
      <c r="A287" s="8">
        <v>4000</v>
      </c>
      <c r="C287" s="36" t="s">
        <v>440</v>
      </c>
      <c r="D287" s="88"/>
      <c r="E287" s="37">
        <v>665509099</v>
      </c>
      <c r="F287" s="88">
        <v>306611555.5</v>
      </c>
      <c r="G287" s="39"/>
      <c r="H287" s="39">
        <v>46.071730042567005</v>
      </c>
      <c r="I287" s="39">
        <v>5.2482765695560945</v>
      </c>
    </row>
    <row r="288" spans="1:9" s="36" customFormat="1" ht="11.25">
      <c r="A288" s="8">
        <v>4001</v>
      </c>
      <c r="C288" s="36" t="s">
        <v>441</v>
      </c>
      <c r="D288" s="88"/>
      <c r="E288" s="37">
        <v>27007500</v>
      </c>
      <c r="F288" s="88">
        <v>26399134.1</v>
      </c>
      <c r="G288" s="39"/>
      <c r="H288" s="39">
        <v>97.7474186799963</v>
      </c>
      <c r="I288" s="39">
        <v>0.45187454441389874</v>
      </c>
    </row>
    <row r="289" spans="1:9" s="36" customFormat="1" ht="11.25">
      <c r="A289" s="8">
        <v>4002</v>
      </c>
      <c r="C289" s="36" t="s">
        <v>442</v>
      </c>
      <c r="D289" s="88"/>
      <c r="E289" s="37">
        <v>51388600</v>
      </c>
      <c r="F289" s="88">
        <v>24556405</v>
      </c>
      <c r="G289" s="39"/>
      <c r="H289" s="39">
        <v>47.785705389911385</v>
      </c>
      <c r="I289" s="39">
        <v>0.4203325108992186</v>
      </c>
    </row>
    <row r="290" spans="1:9" s="36" customFormat="1" ht="11.25">
      <c r="A290" s="8">
        <v>4003</v>
      </c>
      <c r="C290" s="36" t="s">
        <v>443</v>
      </c>
      <c r="D290" s="88"/>
      <c r="E290" s="37">
        <v>22117399</v>
      </c>
      <c r="F290" s="88">
        <v>9179009</v>
      </c>
      <c r="G290" s="39"/>
      <c r="H290" s="39">
        <v>41.50130401861449</v>
      </c>
      <c r="I290" s="39">
        <v>0.15711729386025866</v>
      </c>
    </row>
    <row r="291" spans="1:9" s="36" customFormat="1" ht="11.25">
      <c r="A291" s="8">
        <v>4004</v>
      </c>
      <c r="C291" s="36" t="s">
        <v>444</v>
      </c>
      <c r="D291" s="88"/>
      <c r="E291" s="37">
        <v>6590000</v>
      </c>
      <c r="F291" s="88">
        <v>3856513.9</v>
      </c>
      <c r="G291" s="39"/>
      <c r="H291" s="39">
        <v>58.52069650986343</v>
      </c>
      <c r="I291" s="39">
        <v>0.06601203111386778</v>
      </c>
    </row>
    <row r="292" spans="1:9" s="36" customFormat="1" ht="11.25" hidden="1">
      <c r="A292" s="8">
        <v>4005</v>
      </c>
      <c r="C292" s="36" t="s">
        <v>445</v>
      </c>
      <c r="D292" s="88"/>
      <c r="F292" s="88"/>
      <c r="G292" s="39"/>
      <c r="H292" s="39" t="e">
        <v>#DIV/0!</v>
      </c>
      <c r="I292" s="39">
        <v>0</v>
      </c>
    </row>
    <row r="293" spans="1:9" s="36" customFormat="1" ht="11.25">
      <c r="A293" s="8">
        <v>4009</v>
      </c>
      <c r="C293" s="36" t="s">
        <v>446</v>
      </c>
      <c r="D293" s="88"/>
      <c r="E293" s="37">
        <v>5370500</v>
      </c>
      <c r="F293" s="88">
        <v>1760717.6</v>
      </c>
      <c r="G293" s="39"/>
      <c r="H293" s="39">
        <v>32.784984638301836</v>
      </c>
      <c r="I293" s="39">
        <v>0.030138240910770372</v>
      </c>
    </row>
    <row r="294" spans="1:9" ht="12.75">
      <c r="A294" s="28"/>
      <c r="D294" s="94"/>
      <c r="F294" s="89"/>
      <c r="G294" s="26"/>
      <c r="H294" s="26"/>
      <c r="I294" s="26"/>
    </row>
    <row r="295" spans="1:9" s="31" customFormat="1" ht="12.75">
      <c r="A295" s="30">
        <v>401</v>
      </c>
      <c r="C295" s="31" t="s">
        <v>447</v>
      </c>
      <c r="D295" s="32"/>
      <c r="E295" s="32">
        <v>110379402</v>
      </c>
      <c r="F295" s="87">
        <v>50884400.9</v>
      </c>
      <c r="G295" s="34"/>
      <c r="H295" s="34">
        <v>46.09954391671736</v>
      </c>
      <c r="I295" s="34">
        <v>0.8709893812184422</v>
      </c>
    </row>
    <row r="296" spans="1:9" s="36" customFormat="1" ht="11.25">
      <c r="A296" s="8">
        <v>4010</v>
      </c>
      <c r="C296" s="36" t="s">
        <v>448</v>
      </c>
      <c r="D296" s="88"/>
      <c r="E296" s="37">
        <v>61437002</v>
      </c>
      <c r="F296" s="88">
        <v>28322463.8</v>
      </c>
      <c r="G296" s="39"/>
      <c r="H296" s="39">
        <v>46.10000956752415</v>
      </c>
      <c r="I296" s="39">
        <v>0.48479622012693735</v>
      </c>
    </row>
    <row r="297" spans="1:9" s="36" customFormat="1" ht="11.25">
      <c r="A297" s="8">
        <v>4011</v>
      </c>
      <c r="C297" s="36" t="s">
        <v>449</v>
      </c>
      <c r="D297" s="88"/>
      <c r="E297" s="37">
        <v>47831400</v>
      </c>
      <c r="F297" s="88">
        <v>22049895.3</v>
      </c>
      <c r="G297" s="39"/>
      <c r="H297" s="39">
        <v>46.099205333734744</v>
      </c>
      <c r="I297" s="39">
        <v>0.37742853062220955</v>
      </c>
    </row>
    <row r="298" spans="1:9" s="36" customFormat="1" ht="11.25">
      <c r="A298" s="8">
        <v>4012</v>
      </c>
      <c r="C298" s="36" t="s">
        <v>450</v>
      </c>
      <c r="D298" s="88"/>
      <c r="E298" s="37">
        <v>416600</v>
      </c>
      <c r="F298" s="88">
        <v>192015.9</v>
      </c>
      <c r="G298" s="39"/>
      <c r="H298" s="39">
        <v>46.09119059049448</v>
      </c>
      <c r="I298" s="39">
        <v>0.0032867402773155622</v>
      </c>
    </row>
    <row r="299" spans="1:9" s="36" customFormat="1" ht="11.25">
      <c r="A299" s="8">
        <v>4013</v>
      </c>
      <c r="C299" s="36" t="s">
        <v>451</v>
      </c>
      <c r="D299" s="88"/>
      <c r="E299" s="37">
        <v>694400</v>
      </c>
      <c r="F299" s="88">
        <v>320025.9</v>
      </c>
      <c r="G299" s="39"/>
      <c r="H299" s="39">
        <v>46.08667914746544</v>
      </c>
      <c r="I299" s="39">
        <v>0.00547789019197974</v>
      </c>
    </row>
    <row r="300" spans="1:9" ht="12.75">
      <c r="A300" s="28"/>
      <c r="D300" s="94"/>
      <c r="F300" s="89"/>
      <c r="G300" s="26"/>
      <c r="H300" s="26"/>
      <c r="I300" s="26"/>
    </row>
    <row r="301" spans="1:9" s="31" customFormat="1" ht="12.75">
      <c r="A301" s="30">
        <v>402</v>
      </c>
      <c r="C301" s="31" t="s">
        <v>452</v>
      </c>
      <c r="D301" s="32"/>
      <c r="E301" s="32">
        <v>1103233700</v>
      </c>
      <c r="F301" s="87">
        <v>493845218.52000004</v>
      </c>
      <c r="G301" s="34"/>
      <c r="H301" s="34">
        <v>44.76342759652828</v>
      </c>
      <c r="I301" s="34">
        <v>8.453159193948988</v>
      </c>
    </row>
    <row r="302" spans="1:9" s="36" customFormat="1" ht="11.25">
      <c r="A302" s="8">
        <v>4020</v>
      </c>
      <c r="C302" s="36" t="s">
        <v>453</v>
      </c>
      <c r="D302" s="88"/>
      <c r="E302" s="37">
        <v>313569900</v>
      </c>
      <c r="F302" s="88">
        <v>119614795.93</v>
      </c>
      <c r="G302" s="39"/>
      <c r="H302" s="39">
        <v>38.14613453969912</v>
      </c>
      <c r="I302" s="39">
        <v>2.047449026596301</v>
      </c>
    </row>
    <row r="303" spans="1:9" s="36" customFormat="1" ht="11.25">
      <c r="A303" s="8">
        <v>4021</v>
      </c>
      <c r="C303" s="36" t="s">
        <v>454</v>
      </c>
      <c r="D303" s="88"/>
      <c r="E303" s="37">
        <v>12921200</v>
      </c>
      <c r="F303" s="88">
        <v>1843196.5</v>
      </c>
      <c r="G303" s="39"/>
      <c r="H303" s="39">
        <v>14.264901866699686</v>
      </c>
      <c r="I303" s="39">
        <v>0.031550034010501604</v>
      </c>
    </row>
    <row r="304" spans="1:9" s="36" customFormat="1" ht="11.25">
      <c r="A304" s="8">
        <v>4022</v>
      </c>
      <c r="C304" s="36" t="s">
        <v>455</v>
      </c>
      <c r="D304" s="88"/>
      <c r="E304" s="37">
        <v>97212300</v>
      </c>
      <c r="F304" s="88">
        <v>149625652.3</v>
      </c>
      <c r="G304" s="39"/>
      <c r="H304" s="39">
        <v>153.91637920304325</v>
      </c>
      <c r="I304" s="39">
        <v>2.561145498544777</v>
      </c>
    </row>
    <row r="305" spans="1:9" s="36" customFormat="1" ht="11.25">
      <c r="A305" s="8">
        <v>4023</v>
      </c>
      <c r="C305" s="36" t="s">
        <v>456</v>
      </c>
      <c r="D305" s="88"/>
      <c r="E305" s="37">
        <v>12600000</v>
      </c>
      <c r="F305" s="88">
        <v>7950875.93</v>
      </c>
      <c r="G305" s="39"/>
      <c r="H305" s="39">
        <v>63.10218992063492</v>
      </c>
      <c r="I305" s="39">
        <v>0.13609531376865056</v>
      </c>
    </row>
    <row r="306" spans="1:9" s="36" customFormat="1" ht="11.25">
      <c r="A306" s="8">
        <v>4024</v>
      </c>
      <c r="C306" s="36" t="s">
        <v>457</v>
      </c>
      <c r="D306" s="88"/>
      <c r="E306" s="37">
        <v>16191000</v>
      </c>
      <c r="F306" s="88">
        <v>5583695.28</v>
      </c>
      <c r="G306" s="39"/>
      <c r="H306" s="39">
        <v>34.48641393366685</v>
      </c>
      <c r="I306" s="39">
        <v>0.09557623182784758</v>
      </c>
    </row>
    <row r="307" spans="1:9" s="36" customFormat="1" ht="11.25">
      <c r="A307" s="8">
        <v>4025</v>
      </c>
      <c r="C307" s="36" t="s">
        <v>458</v>
      </c>
      <c r="D307" s="88"/>
      <c r="E307" s="37">
        <v>102943000</v>
      </c>
      <c r="F307" s="88">
        <v>36403125.03</v>
      </c>
      <c r="G307" s="39"/>
      <c r="H307" s="39">
        <v>35.36240932360627</v>
      </c>
      <c r="I307" s="39">
        <v>0.6231130716584163</v>
      </c>
    </row>
    <row r="308" spans="1:9" s="36" customFormat="1" ht="11.25">
      <c r="A308" s="8">
        <v>4026</v>
      </c>
      <c r="C308" s="36" t="s">
        <v>459</v>
      </c>
      <c r="D308" s="88"/>
      <c r="E308" s="37">
        <v>56500000</v>
      </c>
      <c r="F308" s="88">
        <v>32032238.62</v>
      </c>
      <c r="G308" s="39"/>
      <c r="H308" s="39">
        <v>56.6942276460177</v>
      </c>
      <c r="I308" s="39">
        <v>0.5482965152622105</v>
      </c>
    </row>
    <row r="309" spans="1:9" s="36" customFormat="1" ht="11.25">
      <c r="A309" s="8">
        <v>4027</v>
      </c>
      <c r="C309" s="36" t="s">
        <v>460</v>
      </c>
      <c r="D309" s="88"/>
      <c r="E309" s="37">
        <v>225203000</v>
      </c>
      <c r="F309" s="88">
        <v>32008399.62</v>
      </c>
      <c r="G309" s="39"/>
      <c r="H309" s="39">
        <v>14.213131983144098</v>
      </c>
      <c r="I309" s="39">
        <v>0.5478884625880781</v>
      </c>
    </row>
    <row r="310" spans="1:9" s="36" customFormat="1" ht="11.25">
      <c r="A310" s="8">
        <v>4029</v>
      </c>
      <c r="C310" s="36" t="s">
        <v>461</v>
      </c>
      <c r="D310" s="88"/>
      <c r="E310" s="37">
        <v>266093300</v>
      </c>
      <c r="F310" s="88">
        <v>108783239.31</v>
      </c>
      <c r="G310" s="39"/>
      <c r="H310" s="39">
        <v>40.88161532439937</v>
      </c>
      <c r="I310" s="39">
        <v>1.8620450396922057</v>
      </c>
    </row>
    <row r="311" spans="1:9" ht="12.75">
      <c r="A311" s="28"/>
      <c r="D311" s="94"/>
      <c r="F311" s="89"/>
      <c r="G311" s="26"/>
      <c r="H311" s="26"/>
      <c r="I311" s="26"/>
    </row>
    <row r="312" spans="1:9" s="31" customFormat="1" ht="12.75">
      <c r="A312" s="30">
        <v>403</v>
      </c>
      <c r="C312" s="31" t="s">
        <v>462</v>
      </c>
      <c r="D312" s="32"/>
      <c r="E312" s="32">
        <v>43100000</v>
      </c>
      <c r="F312" s="87">
        <v>540761.64</v>
      </c>
      <c r="G312" s="34"/>
      <c r="H312" s="34">
        <v>1.2546673781902549</v>
      </c>
      <c r="I312" s="34">
        <v>0.009256228586357787</v>
      </c>
    </row>
    <row r="313" spans="1:9" s="36" customFormat="1" ht="11.25">
      <c r="A313" s="8">
        <v>4031</v>
      </c>
      <c r="C313" s="36" t="s">
        <v>463</v>
      </c>
      <c r="D313" s="88"/>
      <c r="E313" s="37">
        <v>200000</v>
      </c>
      <c r="F313" s="88">
        <v>95298.7</v>
      </c>
      <c r="G313" s="39"/>
      <c r="H313" s="39">
        <v>47.64935</v>
      </c>
      <c r="I313" s="39">
        <v>0.0016312298912007422</v>
      </c>
    </row>
    <row r="314" spans="1:9" s="36" customFormat="1" ht="11.25">
      <c r="A314" s="8">
        <v>4033</v>
      </c>
      <c r="C314" s="36" t="s">
        <v>464</v>
      </c>
      <c r="D314" s="88"/>
      <c r="E314" s="37">
        <v>42900000</v>
      </c>
      <c r="F314" s="88">
        <v>437157.74</v>
      </c>
      <c r="G314" s="39"/>
      <c r="H314" s="39">
        <v>1.019015710955711</v>
      </c>
      <c r="I314" s="39">
        <v>0.007482838408685137</v>
      </c>
    </row>
    <row r="315" spans="1:9" s="36" customFormat="1" ht="12.75">
      <c r="A315" s="8">
        <v>4034</v>
      </c>
      <c r="C315" s="36" t="s">
        <v>597</v>
      </c>
      <c r="D315" s="88"/>
      <c r="E315" s="25"/>
      <c r="F315" s="88">
        <v>8305.2</v>
      </c>
      <c r="G315" s="39"/>
      <c r="H315" s="39"/>
      <c r="I315" s="39">
        <v>0.00014216028647190786</v>
      </c>
    </row>
    <row r="316" spans="1:9" ht="12.75">
      <c r="A316" s="28"/>
      <c r="D316" s="94"/>
      <c r="F316" s="89"/>
      <c r="G316" s="26"/>
      <c r="H316" s="26"/>
      <c r="I316" s="26"/>
    </row>
    <row r="317" spans="1:9" s="31" customFormat="1" ht="12.75">
      <c r="A317" s="30">
        <v>409</v>
      </c>
      <c r="C317" s="31" t="s">
        <v>465</v>
      </c>
      <c r="D317" s="32"/>
      <c r="E317" s="32">
        <v>48579825</v>
      </c>
      <c r="F317" s="87">
        <v>12969901.4</v>
      </c>
      <c r="G317" s="34"/>
      <c r="H317" s="34">
        <v>26.698122934777967</v>
      </c>
      <c r="I317" s="34">
        <v>0.22200608035163497</v>
      </c>
    </row>
    <row r="318" spans="1:9" s="36" customFormat="1" ht="11.25">
      <c r="A318" s="8">
        <v>4090</v>
      </c>
      <c r="C318" s="36" t="s">
        <v>466</v>
      </c>
      <c r="D318" s="88"/>
      <c r="E318" s="37">
        <v>22579825</v>
      </c>
      <c r="F318" s="88">
        <v>800401.4</v>
      </c>
      <c r="G318" s="39"/>
      <c r="H318" s="39">
        <v>3.5447635223036498</v>
      </c>
      <c r="I318" s="39">
        <v>0.013700487925217468</v>
      </c>
    </row>
    <row r="319" spans="1:9" s="36" customFormat="1" ht="11.25">
      <c r="A319" s="8">
        <v>4091</v>
      </c>
      <c r="C319" s="36" t="s">
        <v>467</v>
      </c>
      <c r="D319" s="88"/>
      <c r="E319" s="37">
        <v>26000000</v>
      </c>
      <c r="F319" s="88">
        <v>12169500</v>
      </c>
      <c r="G319" s="39"/>
      <c r="H319" s="39">
        <v>46.80576923076923</v>
      </c>
      <c r="I319" s="39">
        <v>0.2083055924264175</v>
      </c>
    </row>
    <row r="320" spans="1:9" s="36" customFormat="1" ht="12.75" hidden="1">
      <c r="A320" s="8">
        <v>4092</v>
      </c>
      <c r="C320" s="36" t="s">
        <v>468</v>
      </c>
      <c r="D320" s="88"/>
      <c r="E320" s="25"/>
      <c r="F320" s="88"/>
      <c r="G320" s="39"/>
      <c r="H320" s="39" t="e">
        <v>#DIV/0!</v>
      </c>
      <c r="I320" s="39">
        <v>0</v>
      </c>
    </row>
    <row r="321" spans="1:9" ht="12.75">
      <c r="A321" s="28"/>
      <c r="D321" s="94"/>
      <c r="F321" s="89"/>
      <c r="G321" s="26"/>
      <c r="H321" s="26"/>
      <c r="I321" s="26"/>
    </row>
    <row r="322" spans="1:9" s="47" customFormat="1" ht="15.75" customHeight="1">
      <c r="A322" s="46">
        <v>41</v>
      </c>
      <c r="C322" s="47" t="s">
        <v>469</v>
      </c>
      <c r="D322" s="15"/>
      <c r="E322" s="15">
        <v>7041346850</v>
      </c>
      <c r="F322" s="91">
        <v>3488139401.06</v>
      </c>
      <c r="G322" s="16"/>
      <c r="H322" s="16">
        <v>49.53795737331133</v>
      </c>
      <c r="I322" s="16">
        <v>59.70655691718907</v>
      </c>
    </row>
    <row r="323" spans="1:9" s="31" customFormat="1" ht="12.75">
      <c r="A323" s="30"/>
      <c r="C323" s="29" t="s">
        <v>470</v>
      </c>
      <c r="D323" s="94"/>
      <c r="E323" s="25"/>
      <c r="F323" s="87"/>
      <c r="G323" s="34"/>
      <c r="H323" s="34"/>
      <c r="I323" s="34"/>
    </row>
    <row r="324" spans="1:9" ht="12.75">
      <c r="A324" s="28"/>
      <c r="D324" s="94"/>
      <c r="F324" s="89"/>
      <c r="G324" s="26"/>
      <c r="H324" s="26"/>
      <c r="I324" s="26"/>
    </row>
    <row r="325" spans="1:9" s="31" customFormat="1" ht="12.75">
      <c r="A325" s="30">
        <v>410</v>
      </c>
      <c r="C325" s="31" t="s">
        <v>471</v>
      </c>
      <c r="D325" s="32"/>
      <c r="E325" s="32">
        <v>177485100</v>
      </c>
      <c r="F325" s="87">
        <v>17876596.54</v>
      </c>
      <c r="G325" s="34"/>
      <c r="H325" s="34">
        <v>10.072167488989216</v>
      </c>
      <c r="I325" s="34">
        <v>0.3059940862675332</v>
      </c>
    </row>
    <row r="326" spans="1:9" s="36" customFormat="1" ht="11.25">
      <c r="A326" s="8">
        <v>4100</v>
      </c>
      <c r="C326" s="36" t="s">
        <v>472</v>
      </c>
      <c r="D326" s="88"/>
      <c r="E326" s="37">
        <v>64140000</v>
      </c>
      <c r="F326" s="88">
        <v>0</v>
      </c>
      <c r="G326" s="39"/>
      <c r="H326" s="39">
        <v>0</v>
      </c>
      <c r="I326" s="39">
        <v>0</v>
      </c>
    </row>
    <row r="327" spans="1:9" s="36" customFormat="1" ht="11.25" hidden="1">
      <c r="A327" s="8">
        <v>4101</v>
      </c>
      <c r="C327" s="36" t="s">
        <v>473</v>
      </c>
      <c r="D327" s="88"/>
      <c r="E327" s="37"/>
      <c r="F327" s="88"/>
      <c r="G327" s="39"/>
      <c r="H327" s="39" t="e">
        <v>#DIV/0!</v>
      </c>
      <c r="I327" s="39">
        <v>0</v>
      </c>
    </row>
    <row r="328" spans="1:9" s="36" customFormat="1" ht="11.25">
      <c r="A328" s="8">
        <v>4102</v>
      </c>
      <c r="C328" s="36" t="s">
        <v>474</v>
      </c>
      <c r="D328" s="88"/>
      <c r="E328" s="37">
        <v>113345100</v>
      </c>
      <c r="F328" s="88">
        <v>17876596.54</v>
      </c>
      <c r="G328" s="39"/>
      <c r="H328" s="39">
        <v>15.771830048233227</v>
      </c>
      <c r="I328" s="39">
        <v>0.3059940862675332</v>
      </c>
    </row>
    <row r="329" spans="1:9" ht="12.75">
      <c r="A329" s="28"/>
      <c r="D329" s="94"/>
      <c r="F329" s="89"/>
      <c r="G329" s="26"/>
      <c r="H329" s="26"/>
      <c r="I329" s="26"/>
    </row>
    <row r="330" spans="1:9" s="31" customFormat="1" ht="12.75">
      <c r="A330" s="30">
        <v>411</v>
      </c>
      <c r="C330" s="31" t="s">
        <v>475</v>
      </c>
      <c r="D330" s="32"/>
      <c r="E330" s="32">
        <v>2214652700</v>
      </c>
      <c r="F330" s="87">
        <v>133079333.72</v>
      </c>
      <c r="G330" s="34"/>
      <c r="H330" s="34">
        <v>6.009038515158608</v>
      </c>
      <c r="I330" s="34">
        <v>2.277921808641071</v>
      </c>
    </row>
    <row r="331" spans="1:9" ht="12.75" hidden="1">
      <c r="A331" s="28">
        <v>4110</v>
      </c>
      <c r="C331" t="s">
        <v>476</v>
      </c>
      <c r="D331" s="94"/>
      <c r="F331" s="89"/>
      <c r="G331" s="26"/>
      <c r="H331" s="26" t="e">
        <v>#DIV/0!</v>
      </c>
      <c r="I331" s="26">
        <v>0</v>
      </c>
    </row>
    <row r="332" spans="1:9" ht="12.75" hidden="1">
      <c r="A332" s="28">
        <v>4111</v>
      </c>
      <c r="C332" t="s">
        <v>477</v>
      </c>
      <c r="D332" s="94"/>
      <c r="F332" s="89"/>
      <c r="G332" s="26"/>
      <c r="H332" s="26" t="e">
        <v>#DIV/0!</v>
      </c>
      <c r="I332" s="26">
        <v>0</v>
      </c>
    </row>
    <row r="333" spans="1:9" ht="12.75" hidden="1">
      <c r="A333" s="28">
        <v>4112</v>
      </c>
      <c r="C333" t="s">
        <v>478</v>
      </c>
      <c r="D333" s="94"/>
      <c r="F333" s="89"/>
      <c r="G333" s="26"/>
      <c r="H333" s="26" t="e">
        <v>#DIV/0!</v>
      </c>
      <c r="I333" s="26">
        <v>0</v>
      </c>
    </row>
    <row r="334" spans="1:9" ht="12.75" hidden="1">
      <c r="A334" s="28">
        <v>4113</v>
      </c>
      <c r="C334" t="s">
        <v>479</v>
      </c>
      <c r="D334" s="94"/>
      <c r="F334" s="89"/>
      <c r="G334" s="26"/>
      <c r="H334" s="26" t="e">
        <v>#DIV/0!</v>
      </c>
      <c r="I334" s="26">
        <v>0</v>
      </c>
    </row>
    <row r="335" spans="1:9" ht="12.75" hidden="1">
      <c r="A335" s="28">
        <v>4117</v>
      </c>
      <c r="C335" t="s">
        <v>480</v>
      </c>
      <c r="D335" s="94"/>
      <c r="F335" s="89"/>
      <c r="G335" s="26"/>
      <c r="H335" s="26" t="e">
        <v>#DIV/0!</v>
      </c>
      <c r="I335" s="26">
        <v>0</v>
      </c>
    </row>
    <row r="336" spans="1:9" s="36" customFormat="1" ht="11.25">
      <c r="A336" s="8">
        <v>4119</v>
      </c>
      <c r="C336" s="36" t="s">
        <v>481</v>
      </c>
      <c r="D336" s="88"/>
      <c r="E336" s="37">
        <v>2214652700</v>
      </c>
      <c r="F336" s="88">
        <v>133079333.72</v>
      </c>
      <c r="G336" s="39"/>
      <c r="H336" s="39">
        <v>6.009038515158608</v>
      </c>
      <c r="I336" s="39">
        <v>2.277921808641071</v>
      </c>
    </row>
    <row r="337" spans="1:9" ht="12.75">
      <c r="A337" s="28"/>
      <c r="D337" s="94"/>
      <c r="F337" s="89"/>
      <c r="G337" s="26"/>
      <c r="H337" s="26"/>
      <c r="I337" s="26"/>
    </row>
    <row r="338" spans="1:9" s="31" customFormat="1" ht="12.75">
      <c r="A338" s="30">
        <v>412</v>
      </c>
      <c r="C338" s="31" t="s">
        <v>482</v>
      </c>
      <c r="D338" s="32"/>
      <c r="E338" s="32">
        <v>520200450</v>
      </c>
      <c r="F338" s="87">
        <v>223988726.82</v>
      </c>
      <c r="G338" s="34"/>
      <c r="H338" s="34">
        <v>43.058157066184776</v>
      </c>
      <c r="I338" s="34">
        <v>3.8340198395233234</v>
      </c>
    </row>
    <row r="339" spans="1:9" s="31" customFormat="1" ht="12.75">
      <c r="A339" s="30"/>
      <c r="C339" s="31" t="s">
        <v>483</v>
      </c>
      <c r="D339" s="94"/>
      <c r="E339" s="25"/>
      <c r="F339" s="87"/>
      <c r="G339" s="34"/>
      <c r="H339" s="34"/>
      <c r="I339" s="34"/>
    </row>
    <row r="340" spans="1:9" s="36" customFormat="1" ht="11.25">
      <c r="A340" s="8">
        <v>4120</v>
      </c>
      <c r="C340" s="36" t="s">
        <v>484</v>
      </c>
      <c r="D340" s="88"/>
      <c r="E340" s="37">
        <v>520200450</v>
      </c>
      <c r="F340" s="88">
        <v>223988726.82</v>
      </c>
      <c r="G340" s="39"/>
      <c r="H340" s="39">
        <v>43.058157066184776</v>
      </c>
      <c r="I340" s="39">
        <v>3.8340198395233234</v>
      </c>
    </row>
    <row r="341" spans="1:9" ht="12.75">
      <c r="A341" s="28"/>
      <c r="D341" s="94"/>
      <c r="F341" s="89"/>
      <c r="G341" s="26"/>
      <c r="H341" s="26"/>
      <c r="I341" s="26"/>
    </row>
    <row r="342" spans="1:9" s="31" customFormat="1" ht="12.75">
      <c r="A342" s="30">
        <v>413</v>
      </c>
      <c r="C342" s="31" t="s">
        <v>485</v>
      </c>
      <c r="D342" s="32"/>
      <c r="E342" s="32">
        <v>4128808600</v>
      </c>
      <c r="F342" s="87">
        <v>3104845290.71</v>
      </c>
      <c r="G342" s="34"/>
      <c r="H342" s="34">
        <v>75.19954523224932</v>
      </c>
      <c r="I342" s="34">
        <v>53.14570341211381</v>
      </c>
    </row>
    <row r="343" spans="1:9" s="36" customFormat="1" ht="11.25">
      <c r="A343" s="8">
        <v>4130</v>
      </c>
      <c r="C343" s="36" t="s">
        <v>486</v>
      </c>
      <c r="D343" s="88"/>
      <c r="E343" s="37">
        <v>36500000</v>
      </c>
      <c r="F343" s="88">
        <v>18441976.5</v>
      </c>
      <c r="G343" s="39"/>
      <c r="H343" s="39">
        <v>50.52596301369863</v>
      </c>
      <c r="I343" s="39">
        <v>0.31567170716517273</v>
      </c>
    </row>
    <row r="344" spans="1:9" s="36" customFormat="1" ht="11.25">
      <c r="A344" s="8">
        <v>4131</v>
      </c>
      <c r="C344" s="36" t="s">
        <v>487</v>
      </c>
      <c r="D344" s="88"/>
      <c r="E344" s="37">
        <v>133836400</v>
      </c>
      <c r="F344" s="88">
        <v>66265260</v>
      </c>
      <c r="G344" s="39"/>
      <c r="H344" s="39">
        <v>49.51213571195878</v>
      </c>
      <c r="I344" s="39">
        <v>1.1342638762143544</v>
      </c>
    </row>
    <row r="345" spans="1:9" s="36" customFormat="1" ht="11.25">
      <c r="A345" s="8">
        <v>4132</v>
      </c>
      <c r="C345" s="36" t="s">
        <v>488</v>
      </c>
      <c r="D345" s="88"/>
      <c r="E345" s="37">
        <v>457300000</v>
      </c>
      <c r="F345" s="88">
        <v>188518692.22</v>
      </c>
      <c r="G345" s="39"/>
      <c r="H345" s="39">
        <v>41.22429307238137</v>
      </c>
      <c r="I345" s="39">
        <v>3.2268784967616226</v>
      </c>
    </row>
    <row r="346" spans="1:9" s="36" customFormat="1" ht="11.25">
      <c r="A346" s="8">
        <v>4133</v>
      </c>
      <c r="C346" s="36" t="s">
        <v>489</v>
      </c>
      <c r="D346" s="88"/>
      <c r="E346" s="37">
        <v>3501172200</v>
      </c>
      <c r="F346" s="88">
        <v>2831619361.9900002</v>
      </c>
      <c r="G346" s="39"/>
      <c r="H346" s="39">
        <v>80.87632370638612</v>
      </c>
      <c r="I346" s="39">
        <v>48.46888933197266</v>
      </c>
    </row>
    <row r="347" spans="1:9" ht="12.75">
      <c r="A347" s="28"/>
      <c r="D347" s="94"/>
      <c r="F347" s="89"/>
      <c r="G347" s="26"/>
      <c r="H347" s="26"/>
      <c r="I347" s="26"/>
    </row>
    <row r="348" spans="1:9" s="31" customFormat="1" ht="12.75">
      <c r="A348" s="30">
        <v>414</v>
      </c>
      <c r="C348" s="31" t="s">
        <v>490</v>
      </c>
      <c r="D348" s="32"/>
      <c r="E348" s="32">
        <v>200000</v>
      </c>
      <c r="F348" s="87">
        <v>8349453.2700000005</v>
      </c>
      <c r="G348" s="34"/>
      <c r="H348" s="34">
        <v>4174.726635</v>
      </c>
      <c r="I348" s="34">
        <v>0.14291777064333283</v>
      </c>
    </row>
    <row r="349" spans="1:9" s="20" customFormat="1" ht="12.75" hidden="1">
      <c r="A349" s="60">
        <v>4140</v>
      </c>
      <c r="C349" s="20" t="s">
        <v>491</v>
      </c>
      <c r="D349" s="94"/>
      <c r="E349" s="25"/>
      <c r="F349" s="94"/>
      <c r="G349" s="23"/>
      <c r="H349" s="23" t="e">
        <v>#DIV/0!</v>
      </c>
      <c r="I349" s="23">
        <v>0</v>
      </c>
    </row>
    <row r="350" spans="1:9" s="36" customFormat="1" ht="11.25">
      <c r="A350" s="8">
        <v>4141</v>
      </c>
      <c r="C350" s="36" t="s">
        <v>611</v>
      </c>
      <c r="D350" s="88"/>
      <c r="E350" s="37"/>
      <c r="F350" s="88">
        <v>8135183.87</v>
      </c>
      <c r="G350" s="39"/>
      <c r="H350" s="39"/>
      <c r="I350" s="39">
        <v>0.13925011672937967</v>
      </c>
    </row>
    <row r="351" spans="1:9" s="36" customFormat="1" ht="11.25">
      <c r="A351" s="8">
        <v>4142</v>
      </c>
      <c r="C351" s="36" t="s">
        <v>492</v>
      </c>
      <c r="D351" s="88"/>
      <c r="E351" s="37">
        <v>200000</v>
      </c>
      <c r="F351" s="88">
        <v>214269.4</v>
      </c>
      <c r="G351" s="39"/>
      <c r="H351" s="39">
        <v>107.13470000000001</v>
      </c>
      <c r="I351" s="39">
        <v>0.003667653913953163</v>
      </c>
    </row>
    <row r="352" spans="1:9" ht="12.75">
      <c r="A352" s="28"/>
      <c r="D352" s="94"/>
      <c r="F352" s="89"/>
      <c r="G352" s="26"/>
      <c r="H352" s="26"/>
      <c r="I352" s="26"/>
    </row>
    <row r="353" spans="1:9" s="47" customFormat="1" ht="15.75">
      <c r="A353" s="46">
        <v>42</v>
      </c>
      <c r="C353" s="47" t="s">
        <v>493</v>
      </c>
      <c r="D353" s="15"/>
      <c r="E353" s="15">
        <v>1601191760</v>
      </c>
      <c r="F353" s="91">
        <v>381826214.72999996</v>
      </c>
      <c r="G353" s="16"/>
      <c r="H353" s="16">
        <v>23.846376447128353</v>
      </c>
      <c r="I353" s="16">
        <v>6.535727504274551</v>
      </c>
    </row>
    <row r="354" spans="1:9" ht="12.75">
      <c r="A354" s="28"/>
      <c r="D354" s="94"/>
      <c r="F354" s="89"/>
      <c r="G354" s="26"/>
      <c r="H354" s="26"/>
      <c r="I354" s="26"/>
    </row>
    <row r="355" spans="1:9" s="31" customFormat="1" ht="12.75">
      <c r="A355" s="30">
        <v>420</v>
      </c>
      <c r="C355" s="31" t="s">
        <v>494</v>
      </c>
      <c r="D355" s="32"/>
      <c r="E355" s="32">
        <v>1601191760</v>
      </c>
      <c r="F355" s="87">
        <v>381826214.72999996</v>
      </c>
      <c r="G355" s="34"/>
      <c r="H355" s="34">
        <v>23.846376447128353</v>
      </c>
      <c r="I355" s="34">
        <v>6.535727504274551</v>
      </c>
    </row>
    <row r="356" spans="1:9" ht="12.75" hidden="1">
      <c r="A356" s="28">
        <v>4200</v>
      </c>
      <c r="C356" t="s">
        <v>495</v>
      </c>
      <c r="D356" s="94"/>
      <c r="E356" s="25">
        <v>0</v>
      </c>
      <c r="F356" s="89"/>
      <c r="G356" s="26"/>
      <c r="H356" s="26" t="e">
        <v>#DIV/0!</v>
      </c>
      <c r="I356" s="26">
        <v>0</v>
      </c>
    </row>
    <row r="357" spans="1:9" s="36" customFormat="1" ht="11.25">
      <c r="A357" s="8">
        <v>4201</v>
      </c>
      <c r="C357" s="36" t="s">
        <v>496</v>
      </c>
      <c r="D357" s="88"/>
      <c r="E357" s="37">
        <v>146900000</v>
      </c>
      <c r="F357" s="88">
        <v>85831605.16</v>
      </c>
      <c r="G357" s="39"/>
      <c r="H357" s="39">
        <v>58.42859439074199</v>
      </c>
      <c r="I357" s="39">
        <v>1.469181425840351</v>
      </c>
    </row>
    <row r="358" spans="1:9" s="36" customFormat="1" ht="11.25">
      <c r="A358" s="8">
        <v>4202</v>
      </c>
      <c r="C358" s="36" t="s">
        <v>497</v>
      </c>
      <c r="D358" s="88"/>
      <c r="E358" s="37">
        <v>134794000</v>
      </c>
      <c r="F358" s="88">
        <v>31078850.03</v>
      </c>
      <c r="G358" s="39"/>
      <c r="H358" s="39">
        <v>23.05655298455421</v>
      </c>
      <c r="I358" s="39">
        <v>0.5319773423255626</v>
      </c>
    </row>
    <row r="359" spans="1:9" s="36" customFormat="1" ht="11.25">
      <c r="A359" s="8">
        <v>4203</v>
      </c>
      <c r="C359" s="36" t="s">
        <v>498</v>
      </c>
      <c r="D359" s="88"/>
      <c r="E359" s="37">
        <v>8000000</v>
      </c>
      <c r="F359" s="88">
        <v>0</v>
      </c>
      <c r="G359" s="39"/>
      <c r="H359" s="39">
        <v>0</v>
      </c>
      <c r="I359" s="39">
        <v>0</v>
      </c>
    </row>
    <row r="360" spans="1:9" s="36" customFormat="1" ht="11.25">
      <c r="A360" s="8">
        <v>4204</v>
      </c>
      <c r="C360" s="36" t="s">
        <v>499</v>
      </c>
      <c r="D360" s="88"/>
      <c r="E360" s="37">
        <v>547041600</v>
      </c>
      <c r="F360" s="88">
        <v>123247299.64</v>
      </c>
      <c r="G360" s="39"/>
      <c r="H360" s="39">
        <v>22.52978560314243</v>
      </c>
      <c r="I360" s="39">
        <v>2.109626670484933</v>
      </c>
    </row>
    <row r="361" spans="1:9" s="36" customFormat="1" ht="11.25">
      <c r="A361" s="8">
        <v>4205</v>
      </c>
      <c r="C361" s="36" t="s">
        <v>500</v>
      </c>
      <c r="D361" s="88"/>
      <c r="E361" s="37">
        <v>161355700</v>
      </c>
      <c r="F361" s="88">
        <v>39588595.64</v>
      </c>
      <c r="G361" s="39"/>
      <c r="H361" s="39">
        <v>24.534984286269403</v>
      </c>
      <c r="I361" s="39">
        <v>0.6776388403895056</v>
      </c>
    </row>
    <row r="362" spans="1:9" s="36" customFormat="1" ht="11.25">
      <c r="A362" s="8">
        <v>4206</v>
      </c>
      <c r="C362" s="36" t="s">
        <v>501</v>
      </c>
      <c r="D362" s="88"/>
      <c r="E362" s="37">
        <v>284864760</v>
      </c>
      <c r="F362" s="88">
        <v>21110662.74</v>
      </c>
      <c r="G362" s="39"/>
      <c r="H362" s="39">
        <v>7.410766688024169</v>
      </c>
      <c r="I362" s="39">
        <v>0.3613516667545912</v>
      </c>
    </row>
    <row r="363" spans="1:9" s="36" customFormat="1" ht="11.25">
      <c r="A363" s="8">
        <v>4207</v>
      </c>
      <c r="C363" s="36" t="s">
        <v>502</v>
      </c>
      <c r="D363" s="88"/>
      <c r="E363" s="37">
        <v>10000000</v>
      </c>
      <c r="F363" s="88">
        <v>10154519.9</v>
      </c>
      <c r="G363" s="39"/>
      <c r="H363" s="39">
        <v>101.54519900000001</v>
      </c>
      <c r="I363" s="39">
        <v>0.17381513485150135</v>
      </c>
    </row>
    <row r="364" spans="1:9" s="36" customFormat="1" ht="11.25">
      <c r="A364" s="8">
        <v>4208</v>
      </c>
      <c r="C364" s="36" t="s">
        <v>503</v>
      </c>
      <c r="D364" s="88"/>
      <c r="E364" s="37">
        <v>308235700</v>
      </c>
      <c r="F364" s="88">
        <v>70814681.62</v>
      </c>
      <c r="G364" s="39"/>
      <c r="H364" s="39">
        <v>22.97419851756302</v>
      </c>
      <c r="I364" s="39">
        <v>1.2121364236281063</v>
      </c>
    </row>
    <row r="365" spans="1:9" ht="12.75">
      <c r="A365" s="28"/>
      <c r="D365" s="94"/>
      <c r="F365" s="89"/>
      <c r="G365" s="26"/>
      <c r="H365" s="26"/>
      <c r="I365" s="26"/>
    </row>
    <row r="366" spans="1:9" s="47" customFormat="1" ht="15.75">
      <c r="A366" s="46">
        <v>43</v>
      </c>
      <c r="C366" s="47" t="s">
        <v>504</v>
      </c>
      <c r="D366" s="15"/>
      <c r="E366" s="15">
        <v>5471842340</v>
      </c>
      <c r="F366" s="91">
        <v>1041568684.4300001</v>
      </c>
      <c r="G366" s="16"/>
      <c r="H366" s="16">
        <v>19.035063872655368</v>
      </c>
      <c r="I366" s="16">
        <v>17.828553503676854</v>
      </c>
    </row>
    <row r="367" spans="1:9" ht="12.75">
      <c r="A367" s="28"/>
      <c r="D367" s="94"/>
      <c r="F367" s="89"/>
      <c r="G367" s="26"/>
      <c r="H367" s="26"/>
      <c r="I367" s="26"/>
    </row>
    <row r="368" spans="1:9" s="31" customFormat="1" ht="12.75">
      <c r="A368" s="30">
        <v>430</v>
      </c>
      <c r="C368" s="31" t="s">
        <v>505</v>
      </c>
      <c r="D368" s="32"/>
      <c r="E368" s="32">
        <v>5471842340</v>
      </c>
      <c r="F368" s="87">
        <v>1041568684.4300001</v>
      </c>
      <c r="G368" s="34"/>
      <c r="H368" s="34">
        <v>19.035063872655368</v>
      </c>
      <c r="I368" s="34">
        <v>17.828553503676854</v>
      </c>
    </row>
    <row r="369" spans="1:9" ht="12.75" hidden="1">
      <c r="A369" s="28">
        <v>4300</v>
      </c>
      <c r="C369" t="s">
        <v>506</v>
      </c>
      <c r="D369" s="94"/>
      <c r="F369" s="89"/>
      <c r="G369" s="26"/>
      <c r="H369" s="26" t="e">
        <v>#DIV/0!</v>
      </c>
      <c r="I369" s="26">
        <v>0</v>
      </c>
    </row>
    <row r="370" spans="1:9" s="36" customFormat="1" ht="11.25">
      <c r="A370" s="8">
        <v>4301</v>
      </c>
      <c r="C370" s="36" t="s">
        <v>507</v>
      </c>
      <c r="D370" s="88"/>
      <c r="E370" s="37">
        <v>591700000</v>
      </c>
      <c r="F370" s="88">
        <v>121991775.6</v>
      </c>
      <c r="G370" s="39"/>
      <c r="H370" s="39">
        <v>20.617166739901975</v>
      </c>
      <c r="I370" s="39">
        <v>2.0881358385725446</v>
      </c>
    </row>
    <row r="371" spans="1:9" s="36" customFormat="1" ht="11.25">
      <c r="A371" s="8">
        <v>4302</v>
      </c>
      <c r="C371" s="36" t="s">
        <v>508</v>
      </c>
      <c r="D371" s="88"/>
      <c r="E371" s="37">
        <v>6000000</v>
      </c>
      <c r="F371" s="88">
        <v>0</v>
      </c>
      <c r="G371" s="39"/>
      <c r="H371" s="39">
        <v>0</v>
      </c>
      <c r="I371" s="39">
        <v>0</v>
      </c>
    </row>
    <row r="372" spans="1:9" s="36" customFormat="1" ht="11.25">
      <c r="A372" s="8">
        <v>4303</v>
      </c>
      <c r="C372" s="36" t="s">
        <v>509</v>
      </c>
      <c r="D372" s="88"/>
      <c r="E372" s="37">
        <v>1415277500</v>
      </c>
      <c r="F372" s="88">
        <v>807081975.34</v>
      </c>
      <c r="G372" s="39"/>
      <c r="H372" s="39">
        <v>57.02641180545866</v>
      </c>
      <c r="I372" s="39">
        <v>13.814839476550556</v>
      </c>
    </row>
    <row r="373" spans="1:9" s="36" customFormat="1" ht="11.25" hidden="1">
      <c r="A373" s="8">
        <v>4304</v>
      </c>
      <c r="C373" s="36" t="s">
        <v>510</v>
      </c>
      <c r="D373" s="88"/>
      <c r="E373" s="37"/>
      <c r="F373" s="88"/>
      <c r="G373" s="39"/>
      <c r="H373" s="39" t="e">
        <v>#DIV/0!</v>
      </c>
      <c r="I373" s="39">
        <v>0</v>
      </c>
    </row>
    <row r="374" spans="1:9" s="36" customFormat="1" ht="11.25">
      <c r="A374" s="8">
        <v>4305</v>
      </c>
      <c r="C374" s="36" t="s">
        <v>511</v>
      </c>
      <c r="D374" s="88"/>
      <c r="E374" s="37"/>
      <c r="F374" s="88">
        <v>71724769.5</v>
      </c>
      <c r="G374" s="39"/>
      <c r="H374" s="39"/>
      <c r="I374" s="39">
        <v>1.227714417383273</v>
      </c>
    </row>
    <row r="375" spans="1:9" s="36" customFormat="1" ht="11.25" hidden="1">
      <c r="A375" s="8">
        <v>4306</v>
      </c>
      <c r="C375" s="36" t="s">
        <v>512</v>
      </c>
      <c r="D375" s="88"/>
      <c r="E375" s="37"/>
      <c r="F375" s="88"/>
      <c r="G375" s="39"/>
      <c r="H375" s="39" t="e">
        <v>#DIV/0!</v>
      </c>
      <c r="I375" s="39">
        <v>0</v>
      </c>
    </row>
    <row r="376" spans="1:9" s="36" customFormat="1" ht="11.25">
      <c r="A376" s="8">
        <v>4307</v>
      </c>
      <c r="C376" s="36" t="s">
        <v>513</v>
      </c>
      <c r="D376" s="88"/>
      <c r="E376" s="37">
        <v>3458864840</v>
      </c>
      <c r="F376" s="88">
        <v>40770163.99</v>
      </c>
      <c r="G376" s="39"/>
      <c r="H376" s="39">
        <v>1.1787151529748703</v>
      </c>
      <c r="I376" s="39">
        <v>0.697863771170479</v>
      </c>
    </row>
    <row r="377" spans="1:9" ht="12.75" hidden="1">
      <c r="A377" s="28">
        <v>4308</v>
      </c>
      <c r="C377" t="s">
        <v>514</v>
      </c>
      <c r="D377" s="94"/>
      <c r="F377" s="89"/>
      <c r="G377" s="26"/>
      <c r="H377" s="26" t="e">
        <v>#DIV/0!</v>
      </c>
      <c r="I377" s="26"/>
    </row>
    <row r="378" spans="1:9" ht="15.75">
      <c r="A378" s="28"/>
      <c r="D378" s="93"/>
      <c r="F378" s="89"/>
      <c r="G378" s="26"/>
      <c r="H378" s="26"/>
      <c r="I378" s="26"/>
    </row>
    <row r="379" spans="1:9" ht="15.75">
      <c r="A379" s="46"/>
      <c r="B379" s="57" t="s">
        <v>515</v>
      </c>
      <c r="C379" s="65" t="s">
        <v>516</v>
      </c>
      <c r="D379" s="91">
        <v>162981221.00285912</v>
      </c>
      <c r="E379" s="15">
        <v>-2778428125</v>
      </c>
      <c r="F379" s="91">
        <v>-46508649.709999084</v>
      </c>
      <c r="G379" s="16"/>
      <c r="H379" s="16">
        <v>1.673919483160972</v>
      </c>
      <c r="I379" s="16"/>
    </row>
    <row r="380" spans="1:9" ht="15.75">
      <c r="A380" s="66"/>
      <c r="B380" s="12"/>
      <c r="C380" s="67" t="s">
        <v>517</v>
      </c>
      <c r="D380" s="87"/>
      <c r="F380" s="89"/>
      <c r="G380" s="26"/>
      <c r="H380" s="26"/>
      <c r="I380" s="26"/>
    </row>
    <row r="381" spans="1:9" ht="19.5" customHeight="1">
      <c r="A381" s="28"/>
      <c r="C381" s="68" t="s">
        <v>518</v>
      </c>
      <c r="D381" s="87"/>
      <c r="F381" s="89"/>
      <c r="G381" s="26"/>
      <c r="H381" s="26"/>
      <c r="I381" s="26"/>
    </row>
    <row r="382" spans="1:9" ht="6.75" customHeight="1" hidden="1">
      <c r="A382" s="28"/>
      <c r="D382" s="87"/>
      <c r="F382" s="89"/>
      <c r="G382" s="26"/>
      <c r="H382" s="26"/>
      <c r="I382" s="26"/>
    </row>
    <row r="383" spans="1:9" ht="18">
      <c r="A383" s="69" t="s">
        <v>519</v>
      </c>
      <c r="B383" s="2" t="s">
        <v>520</v>
      </c>
      <c r="D383" s="87"/>
      <c r="F383" s="89"/>
      <c r="G383" s="26"/>
      <c r="H383" s="26"/>
      <c r="I383" s="26"/>
    </row>
    <row r="384" spans="1:9" ht="12.75">
      <c r="A384" s="70"/>
      <c r="B384" s="6"/>
      <c r="C384" s="6"/>
      <c r="D384" s="87"/>
      <c r="F384" s="89"/>
      <c r="G384" s="26"/>
      <c r="H384" s="26"/>
      <c r="I384" s="26"/>
    </row>
    <row r="385" spans="1:9" ht="12.75" hidden="1">
      <c r="A385" s="8" t="s">
        <v>7</v>
      </c>
      <c r="B385" s="9"/>
      <c r="C385" s="9" t="s">
        <v>8</v>
      </c>
      <c r="D385" s="87"/>
      <c r="F385" s="89"/>
      <c r="G385" s="26"/>
      <c r="H385" s="26"/>
      <c r="I385" s="26"/>
    </row>
    <row r="386" spans="1:9" ht="12.75" hidden="1">
      <c r="A386" s="8" t="s">
        <v>22</v>
      </c>
      <c r="B386" s="9"/>
      <c r="C386" s="9"/>
      <c r="D386" s="87"/>
      <c r="F386" s="89"/>
      <c r="G386" s="26"/>
      <c r="H386" s="26"/>
      <c r="I386" s="26"/>
    </row>
    <row r="387" spans="1:9" ht="13.5" hidden="1" thickBot="1">
      <c r="A387" s="11">
        <v>1</v>
      </c>
      <c r="B387" s="11"/>
      <c r="C387" s="11">
        <v>2</v>
      </c>
      <c r="D387" s="87"/>
      <c r="F387" s="89"/>
      <c r="G387" s="26"/>
      <c r="H387" s="26"/>
      <c r="I387" s="26"/>
    </row>
    <row r="388" spans="1:9" ht="12.75" hidden="1">
      <c r="A388" s="28"/>
      <c r="D388" s="87"/>
      <c r="F388" s="89"/>
      <c r="G388" s="26"/>
      <c r="H388" s="26"/>
      <c r="I388" s="26"/>
    </row>
    <row r="389" spans="1:9" ht="15.75">
      <c r="A389" s="46">
        <v>75</v>
      </c>
      <c r="B389" s="57" t="s">
        <v>521</v>
      </c>
      <c r="C389" s="65" t="s">
        <v>522</v>
      </c>
      <c r="D389" s="91">
        <v>6500000</v>
      </c>
      <c r="E389" s="15">
        <v>0</v>
      </c>
      <c r="F389" s="91">
        <v>0</v>
      </c>
      <c r="G389" s="16">
        <v>0</v>
      </c>
      <c r="H389" s="16"/>
      <c r="I389" s="16"/>
    </row>
    <row r="390" spans="1:9" ht="15.75">
      <c r="A390" s="46"/>
      <c r="B390" s="47"/>
      <c r="C390" s="73" t="s">
        <v>523</v>
      </c>
      <c r="D390" s="87"/>
      <c r="F390" s="89"/>
      <c r="G390" s="26"/>
      <c r="H390" s="26"/>
      <c r="I390" s="26"/>
    </row>
    <row r="391" spans="1:9" ht="12.75">
      <c r="A391" s="60"/>
      <c r="B391" s="20"/>
      <c r="C391" s="74" t="s">
        <v>524</v>
      </c>
      <c r="D391" s="87"/>
      <c r="F391" s="89"/>
      <c r="G391" s="26"/>
      <c r="H391" s="26"/>
      <c r="I391" s="26"/>
    </row>
    <row r="392" spans="1:9" ht="12.75">
      <c r="A392" s="28"/>
      <c r="D392" s="87"/>
      <c r="F392" s="89"/>
      <c r="G392" s="26"/>
      <c r="H392" s="26"/>
      <c r="I392" s="26"/>
    </row>
    <row r="393" spans="1:9" ht="12.75">
      <c r="A393" s="30">
        <v>750</v>
      </c>
      <c r="B393" s="31"/>
      <c r="C393" s="31" t="s">
        <v>525</v>
      </c>
      <c r="D393" s="87">
        <v>6500000</v>
      </c>
      <c r="E393" s="32">
        <v>0</v>
      </c>
      <c r="F393" s="87">
        <v>0</v>
      </c>
      <c r="G393" s="34">
        <v>0</v>
      </c>
      <c r="H393" s="34"/>
      <c r="I393" s="34"/>
    </row>
    <row r="394" spans="1:9" s="62" customFormat="1" ht="12.75" hidden="1">
      <c r="A394" s="61">
        <v>7500</v>
      </c>
      <c r="C394" s="62" t="s">
        <v>526</v>
      </c>
      <c r="D394" s="87"/>
      <c r="E394" s="25"/>
      <c r="F394" s="95"/>
      <c r="G394" s="26" t="e">
        <v>#DIV/0!</v>
      </c>
      <c r="H394" s="26"/>
      <c r="I394" s="26"/>
    </row>
    <row r="395" spans="1:9" s="36" customFormat="1" ht="11.25">
      <c r="A395" s="8">
        <v>7503</v>
      </c>
      <c r="C395" s="36" t="s">
        <v>527</v>
      </c>
      <c r="D395" s="88">
        <v>6500000</v>
      </c>
      <c r="E395" s="37"/>
      <c r="F395" s="88"/>
      <c r="G395" s="39">
        <v>0</v>
      </c>
      <c r="H395" s="39"/>
      <c r="I395" s="39"/>
    </row>
    <row r="396" spans="1:9" ht="12.75" customHeight="1">
      <c r="A396" s="28"/>
      <c r="D396" s="87"/>
      <c r="F396" s="89"/>
      <c r="G396" s="26"/>
      <c r="H396" s="26"/>
      <c r="I396" s="26"/>
    </row>
    <row r="397" spans="1:9" ht="12.75">
      <c r="A397" s="30">
        <v>751</v>
      </c>
      <c r="B397" s="31"/>
      <c r="C397" s="31" t="s">
        <v>528</v>
      </c>
      <c r="D397" s="87">
        <v>0</v>
      </c>
      <c r="E397" s="32">
        <v>0</v>
      </c>
      <c r="F397" s="87">
        <v>0</v>
      </c>
      <c r="G397" s="34"/>
      <c r="H397" s="34"/>
      <c r="I397" s="34"/>
    </row>
    <row r="398" spans="1:9" ht="12.75" hidden="1">
      <c r="A398" s="28">
        <v>7510</v>
      </c>
      <c r="C398" t="s">
        <v>529</v>
      </c>
      <c r="D398" s="87"/>
      <c r="F398" s="89"/>
      <c r="G398" s="26"/>
      <c r="H398" s="26"/>
      <c r="I398" s="26"/>
    </row>
    <row r="399" spans="1:9" ht="12.75" hidden="1">
      <c r="A399" s="28">
        <v>7511</v>
      </c>
      <c r="C399" t="s">
        <v>530</v>
      </c>
      <c r="D399" s="87"/>
      <c r="F399" s="89"/>
      <c r="G399" s="26"/>
      <c r="H399" s="26"/>
      <c r="I399" s="26"/>
    </row>
    <row r="400" spans="1:9" ht="12.75" hidden="1">
      <c r="A400" s="28">
        <v>7512</v>
      </c>
      <c r="C400" t="s">
        <v>531</v>
      </c>
      <c r="D400" s="87"/>
      <c r="F400" s="89"/>
      <c r="G400" s="26"/>
      <c r="H400" s="26"/>
      <c r="I400" s="26"/>
    </row>
    <row r="401" spans="1:9" ht="12.75">
      <c r="A401" s="28"/>
      <c r="D401" s="87"/>
      <c r="F401" s="89"/>
      <c r="G401" s="26"/>
      <c r="H401" s="26"/>
      <c r="I401" s="26"/>
    </row>
    <row r="402" spans="1:9" s="47" customFormat="1" ht="15.75">
      <c r="A402" s="46">
        <v>44</v>
      </c>
      <c r="B402" s="57" t="s">
        <v>532</v>
      </c>
      <c r="C402" s="65" t="s">
        <v>533</v>
      </c>
      <c r="D402" s="91">
        <v>0</v>
      </c>
      <c r="E402" s="15">
        <v>18000000</v>
      </c>
      <c r="F402" s="91">
        <v>0</v>
      </c>
      <c r="G402" s="16"/>
      <c r="H402" s="16">
        <v>0</v>
      </c>
      <c r="I402" s="16"/>
    </row>
    <row r="403" spans="1:9" s="47" customFormat="1" ht="15.75">
      <c r="A403" s="46"/>
      <c r="C403" s="73" t="s">
        <v>534</v>
      </c>
      <c r="D403" s="87"/>
      <c r="E403" s="25"/>
      <c r="F403" s="91"/>
      <c r="G403" s="16"/>
      <c r="H403" s="16"/>
      <c r="I403" s="16"/>
    </row>
    <row r="404" spans="1:9" ht="12.75">
      <c r="A404" s="28"/>
      <c r="D404" s="87"/>
      <c r="F404" s="89"/>
      <c r="G404" s="26"/>
      <c r="H404" s="26"/>
      <c r="I404" s="26"/>
    </row>
    <row r="405" spans="1:9" s="31" customFormat="1" ht="12.75">
      <c r="A405" s="30">
        <v>440</v>
      </c>
      <c r="C405" s="31" t="s">
        <v>535</v>
      </c>
      <c r="D405" s="87">
        <v>0</v>
      </c>
      <c r="E405" s="32">
        <v>18000000</v>
      </c>
      <c r="F405" s="87">
        <v>0</v>
      </c>
      <c r="G405" s="34"/>
      <c r="H405" s="34">
        <v>0</v>
      </c>
      <c r="I405" s="34"/>
    </row>
    <row r="406" spans="1:9" ht="12.75" hidden="1">
      <c r="A406" s="28">
        <v>4400</v>
      </c>
      <c r="C406" t="s">
        <v>536</v>
      </c>
      <c r="D406" s="87"/>
      <c r="F406" s="89"/>
      <c r="G406" s="26"/>
      <c r="H406" s="26" t="e">
        <v>#DIV/0!</v>
      </c>
      <c r="I406" s="26"/>
    </row>
    <row r="407" spans="1:9" ht="12.75" hidden="1">
      <c r="A407" s="28">
        <v>4401</v>
      </c>
      <c r="C407" t="s">
        <v>537</v>
      </c>
      <c r="D407" s="87"/>
      <c r="F407" s="89"/>
      <c r="G407" s="26"/>
      <c r="H407" s="26" t="e">
        <v>#DIV/0!</v>
      </c>
      <c r="I407" s="26"/>
    </row>
    <row r="408" spans="1:9" ht="12.75" hidden="1">
      <c r="A408" s="28">
        <v>4402</v>
      </c>
      <c r="C408" t="s">
        <v>538</v>
      </c>
      <c r="D408" s="87"/>
      <c r="F408" s="89"/>
      <c r="G408" s="26"/>
      <c r="H408" s="26" t="e">
        <v>#DIV/0!</v>
      </c>
      <c r="I408" s="26"/>
    </row>
    <row r="409" spans="1:9" ht="12.75" hidden="1">
      <c r="A409" s="28">
        <v>4403</v>
      </c>
      <c r="C409" t="s">
        <v>539</v>
      </c>
      <c r="D409" s="87"/>
      <c r="F409" s="89"/>
      <c r="G409" s="26"/>
      <c r="H409" s="26" t="e">
        <v>#DIV/0!</v>
      </c>
      <c r="I409" s="26"/>
    </row>
    <row r="410" spans="1:9" s="36" customFormat="1" ht="11.25">
      <c r="A410" s="8">
        <v>4404</v>
      </c>
      <c r="C410" s="36" t="s">
        <v>540</v>
      </c>
      <c r="D410" s="102"/>
      <c r="E410" s="37">
        <v>18000000</v>
      </c>
      <c r="F410" s="88">
        <v>0</v>
      </c>
      <c r="G410" s="39"/>
      <c r="H410" s="39">
        <v>0</v>
      </c>
      <c r="I410" s="39"/>
    </row>
    <row r="411" spans="1:9" ht="12.75" hidden="1">
      <c r="A411" s="28">
        <v>4405</v>
      </c>
      <c r="C411" t="s">
        <v>541</v>
      </c>
      <c r="D411" s="87"/>
      <c r="F411" s="89"/>
      <c r="G411" s="26"/>
      <c r="H411" s="26" t="e">
        <v>#DIV/0!</v>
      </c>
      <c r="I411" s="26"/>
    </row>
    <row r="412" spans="1:9" ht="12.75" hidden="1">
      <c r="A412" s="28">
        <v>4406</v>
      </c>
      <c r="C412" t="s">
        <v>542</v>
      </c>
      <c r="D412" s="87"/>
      <c r="F412" s="89"/>
      <c r="G412" s="26"/>
      <c r="H412" s="26" t="e">
        <v>#DIV/0!</v>
      </c>
      <c r="I412" s="26"/>
    </row>
    <row r="413" spans="1:9" ht="12.75" customHeight="1">
      <c r="A413" s="28"/>
      <c r="D413" s="87"/>
      <c r="F413" s="89"/>
      <c r="G413" s="26"/>
      <c r="H413" s="26"/>
      <c r="I413" s="26"/>
    </row>
    <row r="414" spans="1:9" s="31" customFormat="1" ht="12.75">
      <c r="A414" s="30">
        <v>441</v>
      </c>
      <c r="C414" s="31" t="s">
        <v>543</v>
      </c>
      <c r="D414" s="87">
        <v>0</v>
      </c>
      <c r="E414" s="32">
        <v>0</v>
      </c>
      <c r="F414" s="87">
        <v>0</v>
      </c>
      <c r="G414" s="34"/>
      <c r="H414" s="34"/>
      <c r="I414" s="34"/>
    </row>
    <row r="415" spans="1:9" ht="12.75" hidden="1">
      <c r="A415" s="28">
        <v>4410</v>
      </c>
      <c r="C415" t="s">
        <v>544</v>
      </c>
      <c r="D415" s="87"/>
      <c r="F415" s="89"/>
      <c r="G415" s="26"/>
      <c r="H415" s="26" t="e">
        <v>#DIV/0!</v>
      </c>
      <c r="I415" s="26"/>
    </row>
    <row r="416" spans="1:9" ht="12.75" hidden="1">
      <c r="A416" s="28">
        <v>4411</v>
      </c>
      <c r="C416" t="s">
        <v>545</v>
      </c>
      <c r="D416" s="87"/>
      <c r="F416" s="89"/>
      <c r="G416" s="26"/>
      <c r="H416" s="26" t="e">
        <v>#DIV/0!</v>
      </c>
      <c r="I416" s="26"/>
    </row>
    <row r="417" spans="1:9" ht="12.75" hidden="1">
      <c r="A417" s="28">
        <v>4412</v>
      </c>
      <c r="C417" t="s">
        <v>546</v>
      </c>
      <c r="D417" s="87"/>
      <c r="F417" s="89"/>
      <c r="G417" s="26"/>
      <c r="H417" s="26" t="e">
        <v>#DIV/0!</v>
      </c>
      <c r="I417" s="26"/>
    </row>
    <row r="418" spans="1:9" ht="12.75" hidden="1">
      <c r="A418" s="28">
        <v>4413</v>
      </c>
      <c r="C418" t="s">
        <v>547</v>
      </c>
      <c r="D418" s="87"/>
      <c r="F418" s="89"/>
      <c r="G418" s="26"/>
      <c r="H418" s="26" t="e">
        <v>#DIV/0!</v>
      </c>
      <c r="I418" s="26"/>
    </row>
    <row r="419" spans="1:9" ht="12.75" hidden="1">
      <c r="A419" s="28">
        <v>4414</v>
      </c>
      <c r="C419" t="s">
        <v>548</v>
      </c>
      <c r="D419" s="87"/>
      <c r="F419" s="89"/>
      <c r="G419" s="26"/>
      <c r="H419" s="26" t="e">
        <v>#DIV/0!</v>
      </c>
      <c r="I419" s="26"/>
    </row>
    <row r="420" spans="1:9" ht="12.75">
      <c r="A420" s="28"/>
      <c r="D420" s="87"/>
      <c r="F420" s="89"/>
      <c r="G420" s="26"/>
      <c r="H420" s="26"/>
      <c r="I420" s="26"/>
    </row>
    <row r="421" spans="1:9" s="47" customFormat="1" ht="15.75">
      <c r="A421" s="46"/>
      <c r="B421" s="57" t="s">
        <v>549</v>
      </c>
      <c r="C421" s="65" t="s">
        <v>550</v>
      </c>
      <c r="D421" s="91">
        <v>6500000</v>
      </c>
      <c r="E421" s="15">
        <v>-18000000</v>
      </c>
      <c r="F421" s="91">
        <v>0</v>
      </c>
      <c r="G421" s="16">
        <v>0</v>
      </c>
      <c r="H421" s="16">
        <v>0</v>
      </c>
      <c r="I421" s="16"/>
    </row>
    <row r="422" spans="1:9" s="47" customFormat="1" ht="15.75">
      <c r="A422" s="46"/>
      <c r="C422" s="75" t="s">
        <v>551</v>
      </c>
      <c r="D422" s="87"/>
      <c r="E422" s="25"/>
      <c r="F422" s="91"/>
      <c r="G422" s="16"/>
      <c r="H422" s="16"/>
      <c r="I422" s="16"/>
    </row>
    <row r="423" spans="1:9" s="47" customFormat="1" ht="15.75">
      <c r="A423" s="46"/>
      <c r="C423" s="67" t="s">
        <v>552</v>
      </c>
      <c r="D423" s="87"/>
      <c r="E423" s="25"/>
      <c r="F423" s="91"/>
      <c r="G423" s="16"/>
      <c r="H423" s="16"/>
      <c r="I423" s="16"/>
    </row>
    <row r="424" spans="1:9" ht="12.75">
      <c r="A424" s="28"/>
      <c r="D424" s="87"/>
      <c r="F424" s="89"/>
      <c r="G424" s="26"/>
      <c r="H424" s="26"/>
      <c r="I424" s="26"/>
    </row>
    <row r="425" spans="1:9" s="47" customFormat="1" ht="15.75">
      <c r="A425" s="46"/>
      <c r="B425" s="57" t="s">
        <v>553</v>
      </c>
      <c r="C425" s="65" t="s">
        <v>554</v>
      </c>
      <c r="D425" s="91">
        <v>169481221.00285912</v>
      </c>
      <c r="E425" s="15">
        <v>-2796428125</v>
      </c>
      <c r="F425" s="91">
        <v>-46508649.709999084</v>
      </c>
      <c r="G425" s="16">
        <v>-27.441771681131854</v>
      </c>
      <c r="H425" s="16">
        <v>1.6631448272963958</v>
      </c>
      <c r="I425" s="16"/>
    </row>
    <row r="426" spans="1:9" s="47" customFormat="1" ht="15.75">
      <c r="A426" s="46"/>
      <c r="C426" s="67" t="s">
        <v>555</v>
      </c>
      <c r="D426" s="87"/>
      <c r="E426" s="25"/>
      <c r="F426" s="91"/>
      <c r="G426" s="16"/>
      <c r="H426" s="16"/>
      <c r="I426" s="16"/>
    </row>
    <row r="427" spans="1:9" ht="12.75">
      <c r="A427" s="28"/>
      <c r="C427" t="s">
        <v>556</v>
      </c>
      <c r="D427" s="87"/>
      <c r="F427" s="89"/>
      <c r="G427" s="26"/>
      <c r="H427" s="26"/>
      <c r="I427" s="26"/>
    </row>
    <row r="428" spans="1:9" ht="12.75">
      <c r="A428" s="28"/>
      <c r="C428" t="s">
        <v>557</v>
      </c>
      <c r="D428" s="87"/>
      <c r="F428" s="89"/>
      <c r="G428" s="26"/>
      <c r="H428" s="26"/>
      <c r="I428" s="26"/>
    </row>
    <row r="429" spans="1:9" ht="12.75">
      <c r="A429" s="28"/>
      <c r="D429" s="87"/>
      <c r="F429" s="89"/>
      <c r="G429" s="26"/>
      <c r="H429" s="26"/>
      <c r="I429" s="26"/>
    </row>
    <row r="430" spans="1:9" s="2" customFormat="1" ht="18">
      <c r="A430" s="69" t="s">
        <v>558</v>
      </c>
      <c r="B430" s="2" t="s">
        <v>559</v>
      </c>
      <c r="D430" s="87"/>
      <c r="E430" s="25"/>
      <c r="F430" s="96"/>
      <c r="G430" s="77"/>
      <c r="H430" s="77"/>
      <c r="I430" s="77"/>
    </row>
    <row r="431" spans="1:9" ht="12.75" hidden="1">
      <c r="A431" s="70"/>
      <c r="B431" s="6"/>
      <c r="C431" s="6"/>
      <c r="D431" s="87"/>
      <c r="F431" s="89"/>
      <c r="G431" s="26"/>
      <c r="H431" s="26"/>
      <c r="I431" s="26"/>
    </row>
    <row r="432" spans="1:9" ht="12.75" hidden="1">
      <c r="A432" s="8" t="s">
        <v>7</v>
      </c>
      <c r="B432" s="9"/>
      <c r="C432" s="9" t="s">
        <v>8</v>
      </c>
      <c r="D432" s="87"/>
      <c r="F432" s="89"/>
      <c r="G432" s="26"/>
      <c r="H432" s="26"/>
      <c r="I432" s="26"/>
    </row>
    <row r="433" spans="1:9" ht="12.75" hidden="1">
      <c r="A433" s="8" t="s">
        <v>22</v>
      </c>
      <c r="B433" s="9"/>
      <c r="C433" s="9"/>
      <c r="D433" s="87"/>
      <c r="F433" s="89"/>
      <c r="G433" s="26"/>
      <c r="H433" s="26"/>
      <c r="I433" s="26"/>
    </row>
    <row r="434" spans="1:9" ht="13.5" hidden="1" thickBot="1">
      <c r="A434" s="11">
        <v>1</v>
      </c>
      <c r="B434" s="11"/>
      <c r="C434" s="11">
        <v>2</v>
      </c>
      <c r="D434" s="87"/>
      <c r="F434" s="89"/>
      <c r="G434" s="26"/>
      <c r="H434" s="26"/>
      <c r="I434" s="26"/>
    </row>
    <row r="435" spans="1:9" ht="12.75">
      <c r="A435" s="28"/>
      <c r="D435" s="87"/>
      <c r="F435" s="89"/>
      <c r="G435" s="26"/>
      <c r="H435" s="26"/>
      <c r="I435" s="26"/>
    </row>
    <row r="436" spans="1:9" s="47" customFormat="1" ht="15.75">
      <c r="A436" s="78">
        <v>50</v>
      </c>
      <c r="B436" s="57" t="s">
        <v>560</v>
      </c>
      <c r="C436" s="58" t="s">
        <v>561</v>
      </c>
      <c r="D436" s="91">
        <v>0</v>
      </c>
      <c r="E436" s="15">
        <v>0</v>
      </c>
      <c r="F436" s="91">
        <v>0</v>
      </c>
      <c r="G436" s="16"/>
      <c r="H436" s="16"/>
      <c r="I436" s="16"/>
    </row>
    <row r="437" spans="1:9" ht="12.75">
      <c r="A437" s="28"/>
      <c r="D437" s="87"/>
      <c r="F437" s="89"/>
      <c r="G437" s="26"/>
      <c r="H437" s="26"/>
      <c r="I437" s="26"/>
    </row>
    <row r="438" spans="1:9" s="31" customFormat="1" ht="12.75">
      <c r="A438" s="30">
        <v>500</v>
      </c>
      <c r="C438" s="31" t="s">
        <v>562</v>
      </c>
      <c r="D438" s="87">
        <v>0</v>
      </c>
      <c r="E438" s="32">
        <v>0</v>
      </c>
      <c r="F438" s="87">
        <v>0</v>
      </c>
      <c r="G438" s="34"/>
      <c r="H438" s="34"/>
      <c r="I438" s="34"/>
    </row>
    <row r="439" spans="1:9" s="36" customFormat="1" ht="11.25">
      <c r="A439" s="8">
        <v>5001</v>
      </c>
      <c r="C439" s="36" t="s">
        <v>563</v>
      </c>
      <c r="D439" s="102"/>
      <c r="E439" s="37"/>
      <c r="F439" s="88"/>
      <c r="G439" s="39"/>
      <c r="H439" s="39"/>
      <c r="I439" s="39"/>
    </row>
    <row r="440" spans="1:9" ht="12.75">
      <c r="A440" s="28"/>
      <c r="D440" s="87"/>
      <c r="F440" s="89"/>
      <c r="G440" s="26"/>
      <c r="H440" s="26"/>
      <c r="I440" s="26"/>
    </row>
    <row r="441" spans="1:9" s="47" customFormat="1" ht="15.75">
      <c r="A441" s="46">
        <v>55</v>
      </c>
      <c r="B441" s="57" t="s">
        <v>564</v>
      </c>
      <c r="C441" s="58" t="s">
        <v>565</v>
      </c>
      <c r="D441" s="91">
        <v>6625333</v>
      </c>
      <c r="E441" s="15">
        <v>11200000</v>
      </c>
      <c r="F441" s="91">
        <v>6978201.82</v>
      </c>
      <c r="G441" s="16">
        <v>105.32605410173346</v>
      </c>
      <c r="H441" s="16">
        <v>62.30537339285714</v>
      </c>
      <c r="I441" s="16"/>
    </row>
    <row r="442" spans="1:9" ht="12.75">
      <c r="A442" s="28"/>
      <c r="D442" s="87"/>
      <c r="F442" s="89"/>
      <c r="G442" s="26"/>
      <c r="H442" s="26"/>
      <c r="I442" s="26"/>
    </row>
    <row r="443" spans="1:9" s="31" customFormat="1" ht="12.75">
      <c r="A443" s="30">
        <v>550</v>
      </c>
      <c r="C443" s="31" t="s">
        <v>566</v>
      </c>
      <c r="D443" s="87">
        <v>6625333</v>
      </c>
      <c r="E443" s="32">
        <v>11200000</v>
      </c>
      <c r="F443" s="87">
        <v>6978201.82</v>
      </c>
      <c r="G443" s="34">
        <v>105.32605410173346</v>
      </c>
      <c r="H443" s="34">
        <v>62.30537339285714</v>
      </c>
      <c r="I443" s="34"/>
    </row>
    <row r="444" spans="1:9" s="36" customFormat="1" ht="11.25">
      <c r="A444" s="103">
        <v>5501</v>
      </c>
      <c r="C444" s="36" t="s">
        <v>567</v>
      </c>
      <c r="D444" s="88">
        <v>6625333</v>
      </c>
      <c r="E444" s="37">
        <v>11200000</v>
      </c>
      <c r="F444" s="88">
        <v>6978201.82</v>
      </c>
      <c r="G444" s="39">
        <v>105.32605410173346</v>
      </c>
      <c r="H444" s="39">
        <v>62.30537339285714</v>
      </c>
      <c r="I444" s="39"/>
    </row>
    <row r="445" spans="1:9" s="36" customFormat="1" ht="12.75">
      <c r="A445" s="103">
        <v>5503</v>
      </c>
      <c r="C445" s="36" t="s">
        <v>568</v>
      </c>
      <c r="D445" s="88"/>
      <c r="E445" s="25"/>
      <c r="F445" s="88"/>
      <c r="G445" s="39"/>
      <c r="H445" s="39"/>
      <c r="I445" s="39"/>
    </row>
    <row r="446" spans="1:9" ht="12.75">
      <c r="A446" s="79"/>
      <c r="D446" s="87"/>
      <c r="F446" s="89"/>
      <c r="G446" s="26"/>
      <c r="H446" s="26"/>
      <c r="I446" s="26"/>
    </row>
    <row r="447" spans="1:9" s="47" customFormat="1" ht="15.75">
      <c r="A447" s="80"/>
      <c r="B447" s="57" t="s">
        <v>569</v>
      </c>
      <c r="C447" s="58" t="s">
        <v>570</v>
      </c>
      <c r="D447" s="91">
        <v>-6625333</v>
      </c>
      <c r="E447" s="15">
        <v>-11200000</v>
      </c>
      <c r="F447" s="91">
        <v>-6978201.82</v>
      </c>
      <c r="G447" s="16">
        <v>105.32605410173346</v>
      </c>
      <c r="H447" s="16">
        <v>62.30537339285714</v>
      </c>
      <c r="I447" s="16"/>
    </row>
    <row r="448" spans="1:9" ht="12.75">
      <c r="A448" s="79"/>
      <c r="B448" s="9"/>
      <c r="D448" s="87"/>
      <c r="F448" s="89"/>
      <c r="G448" s="26"/>
      <c r="H448" s="26"/>
      <c r="I448" s="26"/>
    </row>
    <row r="449" spans="2:9" s="47" customFormat="1" ht="15.75">
      <c r="B449" s="57" t="s">
        <v>571</v>
      </c>
      <c r="C449" s="65" t="s">
        <v>572</v>
      </c>
      <c r="D449" s="91">
        <v>162855888.00285912</v>
      </c>
      <c r="E449" s="15">
        <v>-2807628125</v>
      </c>
      <c r="F449" s="91">
        <v>-53486851.529999085</v>
      </c>
      <c r="G449" s="16">
        <v>-32.84305663486976</v>
      </c>
      <c r="H449" s="16">
        <v>1.9050546991510524</v>
      </c>
      <c r="I449" s="16"/>
    </row>
    <row r="450" spans="3:9" s="47" customFormat="1" ht="15.75">
      <c r="C450" s="75" t="s">
        <v>573</v>
      </c>
      <c r="D450" s="87"/>
      <c r="E450" s="25"/>
      <c r="F450" s="91"/>
      <c r="G450" s="16"/>
      <c r="H450" s="16"/>
      <c r="I450" s="16"/>
    </row>
    <row r="451" spans="1:9" ht="12" customHeight="1">
      <c r="A451" s="68"/>
      <c r="C451" s="82" t="s">
        <v>574</v>
      </c>
      <c r="D451" s="87"/>
      <c r="F451" s="89"/>
      <c r="G451" s="16"/>
      <c r="H451" s="16"/>
      <c r="I451" s="16"/>
    </row>
    <row r="452" spans="1:9" s="24" customFormat="1" ht="15.75">
      <c r="A452" s="17"/>
      <c r="B452" s="13" t="s">
        <v>575</v>
      </c>
      <c r="C452" s="83" t="s">
        <v>576</v>
      </c>
      <c r="D452" s="93">
        <v>2531076066</v>
      </c>
      <c r="E452" s="55">
        <v>2807628125</v>
      </c>
      <c r="F452" s="93">
        <v>2807628125</v>
      </c>
      <c r="G452" s="16"/>
      <c r="H452" s="16">
        <v>100</v>
      </c>
      <c r="I452" s="16"/>
    </row>
    <row r="453" spans="1:9" s="12" customFormat="1" ht="15.75">
      <c r="A453" s="84"/>
      <c r="B453" s="24"/>
      <c r="C453" s="85" t="s">
        <v>591</v>
      </c>
      <c r="D453" s="93"/>
      <c r="E453" s="25"/>
      <c r="F453" s="97"/>
      <c r="G453" s="19"/>
      <c r="H453" s="19"/>
      <c r="I453" s="19"/>
    </row>
    <row r="454" spans="1:9" s="12" customFormat="1" ht="15.75">
      <c r="A454" s="84"/>
      <c r="B454" s="13" t="s">
        <v>577</v>
      </c>
      <c r="C454" s="83" t="s">
        <v>576</v>
      </c>
      <c r="D454" s="93">
        <v>2693931954.002859</v>
      </c>
      <c r="E454" s="55">
        <v>0</v>
      </c>
      <c r="F454" s="93">
        <v>2754141273.4700007</v>
      </c>
      <c r="G454" s="56"/>
      <c r="H454" s="56"/>
      <c r="I454" s="56"/>
    </row>
    <row r="455" spans="1:9" s="12" customFormat="1" ht="15.75">
      <c r="A455" s="84"/>
      <c r="B455" s="24"/>
      <c r="C455" s="85" t="s">
        <v>592</v>
      </c>
      <c r="D455" s="97"/>
      <c r="E455" s="25"/>
      <c r="F455" s="97"/>
      <c r="G455" s="19"/>
      <c r="H455" s="19"/>
      <c r="I455" s="19"/>
    </row>
    <row r="456" spans="1:9" s="24" customFormat="1" ht="15.75">
      <c r="A456" s="17"/>
      <c r="C456" s="24" t="s">
        <v>578</v>
      </c>
      <c r="D456" s="87">
        <v>2849811027.002859</v>
      </c>
      <c r="E456" s="55">
        <v>13419228850</v>
      </c>
      <c r="F456" s="93">
        <v>5795629268.070001</v>
      </c>
      <c r="G456" s="56">
        <v>203.36889755687602</v>
      </c>
      <c r="H456" s="56">
        <v>43.188988971374464</v>
      </c>
      <c r="I456" s="56"/>
    </row>
    <row r="457" spans="1:9" ht="12.75">
      <c r="A457" s="68"/>
      <c r="F457" s="89"/>
      <c r="G457" s="25"/>
      <c r="H457" s="25"/>
      <c r="I457" s="25"/>
    </row>
    <row r="458" spans="1:9" ht="12.75">
      <c r="A458" s="68"/>
      <c r="G458" s="25"/>
      <c r="H458" s="25"/>
      <c r="I458" s="25"/>
    </row>
    <row r="459" spans="1:9" ht="12.75">
      <c r="A459" s="68"/>
      <c r="G459" s="25"/>
      <c r="H459" s="25"/>
      <c r="I459" s="25"/>
    </row>
    <row r="460" spans="1:9" ht="12.75">
      <c r="A460" s="68"/>
      <c r="G460" s="25"/>
      <c r="H460" s="25"/>
      <c r="I460" s="25"/>
    </row>
    <row r="461" spans="1:9" ht="12.75">
      <c r="A461" s="68"/>
      <c r="G461" s="25"/>
      <c r="H461" s="25"/>
      <c r="I461" s="25"/>
    </row>
    <row r="462" spans="1:9" ht="12.75">
      <c r="A462" s="68"/>
      <c r="G462" s="25"/>
      <c r="H462" s="25"/>
      <c r="I462" s="25"/>
    </row>
    <row r="463" spans="1:9" ht="12.75">
      <c r="A463" s="68"/>
      <c r="G463" s="25"/>
      <c r="H463" s="25"/>
      <c r="I463" s="25"/>
    </row>
    <row r="464" spans="1:9" ht="12.75">
      <c r="A464" s="68"/>
      <c r="G464" s="25"/>
      <c r="H464" s="25"/>
      <c r="I464" s="25"/>
    </row>
    <row r="465" spans="1:9" ht="12.75">
      <c r="A465" s="68"/>
      <c r="G465" s="25"/>
      <c r="H465" s="25"/>
      <c r="I465" s="25"/>
    </row>
    <row r="466" spans="1:9" ht="12.75">
      <c r="A466" s="68"/>
      <c r="G466" s="25"/>
      <c r="H466" s="25"/>
      <c r="I466" s="25"/>
    </row>
    <row r="467" spans="1:9" ht="12.75">
      <c r="A467" s="68"/>
      <c r="G467" s="25"/>
      <c r="H467" s="25"/>
      <c r="I467" s="25"/>
    </row>
    <row r="468" spans="1:9" ht="12.75">
      <c r="A468" s="68"/>
      <c r="G468" s="25"/>
      <c r="H468" s="25"/>
      <c r="I468" s="25"/>
    </row>
    <row r="469" spans="1:9" ht="12.75">
      <c r="A469" s="68"/>
      <c r="G469" s="25"/>
      <c r="H469" s="25"/>
      <c r="I469" s="25"/>
    </row>
    <row r="470" spans="1:9" ht="12.75">
      <c r="A470" s="68"/>
      <c r="G470" s="25"/>
      <c r="H470" s="25"/>
      <c r="I470" s="25"/>
    </row>
    <row r="471" spans="1:9" ht="12.75">
      <c r="A471" s="68"/>
      <c r="G471" s="25"/>
      <c r="H471" s="25"/>
      <c r="I471" s="25"/>
    </row>
    <row r="472" spans="1:9" ht="12.75">
      <c r="A472" s="68"/>
      <c r="G472" s="25"/>
      <c r="H472" s="25"/>
      <c r="I472" s="25"/>
    </row>
    <row r="473" spans="1:9" ht="12.75">
      <c r="A473" s="68"/>
      <c r="G473" s="25"/>
      <c r="H473" s="25"/>
      <c r="I473" s="25"/>
    </row>
    <row r="474" spans="1:9" ht="12.75">
      <c r="A474" s="68"/>
      <c r="G474" s="25"/>
      <c r="H474" s="25"/>
      <c r="I474" s="25"/>
    </row>
    <row r="475" spans="1:9" ht="12.75">
      <c r="A475" s="68"/>
      <c r="G475" s="25"/>
      <c r="H475" s="25"/>
      <c r="I475" s="25"/>
    </row>
    <row r="476" spans="1:9" ht="12.75">
      <c r="A476" s="68"/>
      <c r="G476" s="25"/>
      <c r="H476" s="25"/>
      <c r="I476" s="25"/>
    </row>
    <row r="477" spans="1:9" ht="12.75">
      <c r="A477" s="68"/>
      <c r="G477" s="25"/>
      <c r="H477" s="25"/>
      <c r="I477" s="25"/>
    </row>
    <row r="478" spans="1:9" ht="12.75">
      <c r="A478" s="68"/>
      <c r="G478" s="25"/>
      <c r="H478" s="25"/>
      <c r="I478" s="25"/>
    </row>
    <row r="479" spans="1:9" ht="12.75">
      <c r="A479" s="68"/>
      <c r="G479" s="25"/>
      <c r="H479" s="25"/>
      <c r="I479" s="25"/>
    </row>
    <row r="480" spans="1:9" ht="12.75">
      <c r="A480" s="68"/>
      <c r="G480" s="25"/>
      <c r="H480" s="25"/>
      <c r="I480" s="25"/>
    </row>
    <row r="481" spans="1:9" ht="12.75">
      <c r="A481" s="68"/>
      <c r="G481" s="25"/>
      <c r="H481" s="25"/>
      <c r="I481" s="25"/>
    </row>
    <row r="482" spans="1:9" ht="12.75">
      <c r="A482" s="68"/>
      <c r="G482" s="25"/>
      <c r="H482" s="25"/>
      <c r="I482" s="25"/>
    </row>
    <row r="483" spans="1:9" ht="12.75">
      <c r="A483" s="68"/>
      <c r="G483" s="25"/>
      <c r="H483" s="25"/>
      <c r="I483" s="25"/>
    </row>
    <row r="484" spans="1:9" ht="12.75">
      <c r="A484" s="68"/>
      <c r="G484" s="25"/>
      <c r="H484" s="25"/>
      <c r="I484" s="25"/>
    </row>
    <row r="485" spans="1:9" ht="12.75">
      <c r="A485" s="68"/>
      <c r="G485" s="25"/>
      <c r="H485" s="25"/>
      <c r="I485" s="25"/>
    </row>
    <row r="486" spans="1:9" ht="12.75">
      <c r="A486" s="68"/>
      <c r="G486" s="25"/>
      <c r="H486" s="25"/>
      <c r="I486" s="25"/>
    </row>
    <row r="487" spans="1:9" ht="12.75">
      <c r="A487" s="68"/>
      <c r="G487" s="25"/>
      <c r="H487" s="25"/>
      <c r="I487" s="25"/>
    </row>
    <row r="488" spans="1:9" ht="12.75">
      <c r="A488" s="68"/>
      <c r="G488" s="25"/>
      <c r="H488" s="25"/>
      <c r="I488" s="25"/>
    </row>
    <row r="489" spans="1:9" ht="12.75">
      <c r="A489" s="68"/>
      <c r="G489" s="25"/>
      <c r="H489" s="25"/>
      <c r="I489" s="25"/>
    </row>
    <row r="490" spans="1:9" ht="12.75">
      <c r="A490" s="68"/>
      <c r="G490" s="25"/>
      <c r="H490" s="25"/>
      <c r="I490" s="25"/>
    </row>
    <row r="491" spans="1:9" ht="12.75">
      <c r="A491" s="68"/>
      <c r="G491" s="25"/>
      <c r="H491" s="25"/>
      <c r="I491" s="25"/>
    </row>
  </sheetData>
  <printOptions gridLines="1"/>
  <pageMargins left="0.23" right="0.18" top="0.87" bottom="0.85" header="0.34" footer="0"/>
  <pageSetup horizontalDpi="300" verticalDpi="300" orientation="portrait" paperSize="9" scale="75" r:id="rId1"/>
  <headerFooter alignWithMargins="0">
    <oddHeader>&amp;RPriloga 1
</oddHeader>
  </headerFooter>
  <rowBreaks count="1" manualBreakCount="1">
    <brk id="3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OBČINA</dc:creator>
  <cp:keywords/>
  <dc:description/>
  <cp:lastModifiedBy>MESTNA UPRAVA</cp:lastModifiedBy>
  <cp:lastPrinted>2000-10-06T09:14:15Z</cp:lastPrinted>
  <dcterms:created xsi:type="dcterms:W3CDTF">2000-04-13T06:18:13Z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