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ealizacija 2000" sheetId="1" r:id="rId1"/>
  </sheets>
  <definedNames>
    <definedName name="_xlnm.Print_Area" localSheetId="0">'realizacija 2000'!$A$1:$L$460</definedName>
    <definedName name="_xlnm.Print_Titles" localSheetId="0">'realizacija 2000'!$3:$6</definedName>
  </definedNames>
  <calcPr fullCalcOnLoad="1"/>
</workbook>
</file>

<file path=xl/sharedStrings.xml><?xml version="1.0" encoding="utf-8"?>
<sst xmlns="http://schemas.openxmlformats.org/spreadsheetml/2006/main" count="612" uniqueCount="590">
  <si>
    <t>A.</t>
  </si>
  <si>
    <t>BILANCA  PRIHODKOV  IN  ODHODKOV</t>
  </si>
  <si>
    <t>Skup,podsk.</t>
  </si>
  <si>
    <t>Naziv konta</t>
  </si>
  <si>
    <t>Realizacija</t>
  </si>
  <si>
    <t>Indeks</t>
  </si>
  <si>
    <t>Sprejeti plan</t>
  </si>
  <si>
    <t xml:space="preserve">Realizacija </t>
  </si>
  <si>
    <t>Struk.</t>
  </si>
  <si>
    <t>Konto,podk.</t>
  </si>
  <si>
    <t>I.</t>
  </si>
  <si>
    <t>S K U P A J    P R I H O D K I</t>
  </si>
  <si>
    <t>(70+71+72+73+74)</t>
  </si>
  <si>
    <t>TEKOČI  PRIHODKI (70+71)</t>
  </si>
  <si>
    <t>DAVČNI  PRIHODKI</t>
  </si>
  <si>
    <t>(700+701+702+703+704+705+706)</t>
  </si>
  <si>
    <t>DAVKI NA DOHODEK IN DOBIČEK</t>
  </si>
  <si>
    <t>Dohodnina</t>
  </si>
  <si>
    <t>700001</t>
  </si>
  <si>
    <t>Dohodnina - letni poračun</t>
  </si>
  <si>
    <t>700002</t>
  </si>
  <si>
    <t>Akontacija dohodn. - od plač in drugih oseb. prejem. iz del. razmerja</t>
  </si>
  <si>
    <t>700003</t>
  </si>
  <si>
    <t>Akontacija dohodnine - od pokojnin</t>
  </si>
  <si>
    <t>700004</t>
  </si>
  <si>
    <t>Akontac. dohodn. - od prejemkov, dosež. na podlagi pogodbe o delu</t>
  </si>
  <si>
    <t>700005</t>
  </si>
  <si>
    <t>Akon. doh. - od drugih prejem., vključno z nagradami in podob. prej.</t>
  </si>
  <si>
    <t>700006</t>
  </si>
  <si>
    <t>Akon. doh. - od doh. iz kmetij., ki se obr. od kat. doh. od kmet. zemljišč</t>
  </si>
  <si>
    <t>700007</t>
  </si>
  <si>
    <t>Akon. doh. - od doh. iz kmetij., ki se obr. od kat. doh. od gozd. zemljišč</t>
  </si>
  <si>
    <t>700008</t>
  </si>
  <si>
    <t>Akon. doh. - od dohodka iz dejavnosti</t>
  </si>
  <si>
    <t>700009</t>
  </si>
  <si>
    <t>Akon. doh. - od dohodka iz dejavnosti od vsakega posamez. prejemka</t>
  </si>
  <si>
    <t>700010</t>
  </si>
  <si>
    <t>Akon. doh. - od dobička iz kapitala od nepremičnin</t>
  </si>
  <si>
    <t>700011</t>
  </si>
  <si>
    <t>Akon. doh. - od dobič. iz kapit. od vredn. papir. in dr. deležev v kapitalu</t>
  </si>
  <si>
    <t>700012</t>
  </si>
  <si>
    <t>Akon. doh. - od dohodkov, doseženih z udeležbo pri dobičku</t>
  </si>
  <si>
    <t>700013</t>
  </si>
  <si>
    <t>Akon. doh. - od obresti na posojila, dana fizičnim in pravnim osebam</t>
  </si>
  <si>
    <t>700014</t>
  </si>
  <si>
    <t>Akon. doh. - od doh. iz premoženja, dosež. z oddajanjem zemljišč,</t>
  </si>
  <si>
    <t xml:space="preserve">    stanovanjskih ali posl. prost., garaž in prost. za počitek in rekreac. </t>
  </si>
  <si>
    <t>700015</t>
  </si>
  <si>
    <t>Akon. doh. - od dohodkov iz premoženjskih pravic - iz avtorskih pravic</t>
  </si>
  <si>
    <t>700016</t>
  </si>
  <si>
    <t>Akon. doh. - od dohodkov iz premoženjskih pravic - od izumov,</t>
  </si>
  <si>
    <t xml:space="preserve">    znakov razlikovanja in tehničnih izboljšav</t>
  </si>
  <si>
    <t>700017</t>
  </si>
  <si>
    <t>Zamudne obresti od dohodnine</t>
  </si>
  <si>
    <t>DAVKI NA PREMOŽENJE</t>
  </si>
  <si>
    <t>Davki na nepremičnine</t>
  </si>
  <si>
    <t>703000</t>
  </si>
  <si>
    <t>Davek od premoženja od stavb - od fizičnih oseb</t>
  </si>
  <si>
    <t>703001</t>
  </si>
  <si>
    <t>Davek od premoženja od prostorov za počitek in rekreacijo</t>
  </si>
  <si>
    <t>703002</t>
  </si>
  <si>
    <t>Zamudne obresti od davkov na nepremičnine</t>
  </si>
  <si>
    <t>703003</t>
  </si>
  <si>
    <t>Nadomestilo za uporabo stavbnega zemljišča - od pravnih oseb</t>
  </si>
  <si>
    <t>703004</t>
  </si>
  <si>
    <t>Nadomestilo za uporabo stavbnega zemljišča - od fizičnih oseb</t>
  </si>
  <si>
    <t>703005</t>
  </si>
  <si>
    <t>Zamudne obresti iz naslova nadomestila za uporabo stavb. zemljišča</t>
  </si>
  <si>
    <t>Davki na premičnine</t>
  </si>
  <si>
    <t>703100</t>
  </si>
  <si>
    <t>Davek od premoženja - na posest plovnih objektov</t>
  </si>
  <si>
    <t>703101</t>
  </si>
  <si>
    <t>Zamudne obresti od davkov na premičnine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</si>
  <si>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</si>
  <si>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</si>
  <si>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</si>
  <si>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</si>
  <si>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</si>
  <si>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 xml:space="preserve">Davki na promet nepremičnin </t>
  </si>
  <si>
    <t>703300</t>
  </si>
  <si>
    <t>Davek na promet nepremičnin - od pravnih oseb</t>
  </si>
  <si>
    <t>703301</t>
  </si>
  <si>
    <t>Davek na promet nepremičnin - od fizičnih oseb</t>
  </si>
  <si>
    <t>703302</t>
  </si>
  <si>
    <t>Davek na promet nepremičnin - od pravnih in fizičnih oseb, ki nimajo</t>
  </si>
  <si>
    <t xml:space="preserve">    sedeža oz. stalnega prebivališča v RS</t>
  </si>
  <si>
    <t>703303</t>
  </si>
  <si>
    <t>Zamudne obresti od davka na promet nepremičnin</t>
  </si>
  <si>
    <t>DOMAČI DAVKI NA BLAGO IN STORITVE</t>
  </si>
  <si>
    <t>Davki na posebne storitve</t>
  </si>
  <si>
    <t>704403</t>
  </si>
  <si>
    <t>Davek na dobitke od iger na srečo</t>
  </si>
  <si>
    <t>704404</t>
  </si>
  <si>
    <t>Posebna taksa na igralne avtomate</t>
  </si>
  <si>
    <t>704405</t>
  </si>
  <si>
    <t>Zamudne obresti od davka na dobiček od iger na srečo</t>
  </si>
  <si>
    <t>Pristojbine za motorna vozila</t>
  </si>
  <si>
    <t>704604</t>
  </si>
  <si>
    <t>Pristojbine za registracijo kmetijskih traktorjev (povr. za upor. cest)</t>
  </si>
  <si>
    <t>Drugi davki na uporabo blaga in storitev</t>
  </si>
  <si>
    <t>704700</t>
  </si>
  <si>
    <t>Taksa za obremenjevanje vode (državna taksa)</t>
  </si>
  <si>
    <t>704704</t>
  </si>
  <si>
    <t>Turistična taksa</t>
  </si>
  <si>
    <t>704706</t>
  </si>
  <si>
    <t xml:space="preserve">Komunalne takse za taksam zavezane predmete - od pravnih oseb </t>
  </si>
  <si>
    <t>704707</t>
  </si>
  <si>
    <t>Kom. takse za taksam zavez. predm. - od fizičnih oseb in zasebnikov</t>
  </si>
  <si>
    <t>704708</t>
  </si>
  <si>
    <t>Pristojbina za vzdrževanje gozdnih cest</t>
  </si>
  <si>
    <t>704709</t>
  </si>
  <si>
    <t>Druge komunalne takse</t>
  </si>
  <si>
    <t>704710</t>
  </si>
  <si>
    <t>Odškodnina za sprem. namembnosti kmetijskega zemljišča in gozda</t>
  </si>
  <si>
    <t>704711</t>
  </si>
  <si>
    <t>Zamudne obresti iz naslova odšk. za spr. nam. kmet. zemlj. in gozda</t>
  </si>
  <si>
    <t>704713</t>
  </si>
  <si>
    <t>Požarna taksa</t>
  </si>
  <si>
    <t>704714</t>
  </si>
  <si>
    <t>Odškodnine od izkopanih rudnin (gramoz)</t>
  </si>
  <si>
    <t>704715</t>
  </si>
  <si>
    <t>Priključne takse</t>
  </si>
  <si>
    <t>70471500</t>
  </si>
  <si>
    <t>Plinarna d.d.</t>
  </si>
  <si>
    <t>70471501</t>
  </si>
  <si>
    <t>Vodovod d.d.</t>
  </si>
  <si>
    <t>70471502</t>
  </si>
  <si>
    <t>Nigrad d.d.</t>
  </si>
  <si>
    <t>70471503</t>
  </si>
  <si>
    <t>TOM d.o.o.</t>
  </si>
  <si>
    <t>704716</t>
  </si>
  <si>
    <t>Ekološke takse</t>
  </si>
  <si>
    <t>DRUGI DAVKI</t>
  </si>
  <si>
    <t>Drugi davki</t>
  </si>
  <si>
    <t>NEDAVČNI PRIHODKI</t>
  </si>
  <si>
    <t>(710+711+712+713+714)</t>
  </si>
  <si>
    <t xml:space="preserve">UDELEŽBA NA DOBIČKU IN DOHODKI </t>
  </si>
  <si>
    <t xml:space="preserve">      OD PREMOŽENJA</t>
  </si>
  <si>
    <t>Udeležba na dobičku javnih podjetij in jav. finan. instit.</t>
  </si>
  <si>
    <t>Prihodki iz naslova udeležbe na dobičku javnih podjetij</t>
  </si>
  <si>
    <t>71000000</t>
  </si>
  <si>
    <t>ZIM d.o.o.</t>
  </si>
  <si>
    <t>71000001</t>
  </si>
  <si>
    <t>Staninvest d.o.o.</t>
  </si>
  <si>
    <t>71000002</t>
  </si>
  <si>
    <t>ZUM d.o.o.</t>
  </si>
  <si>
    <t>71000003</t>
  </si>
  <si>
    <t>Geodetski zavod Maribor d.o.o.</t>
  </si>
  <si>
    <t>Prihodki od udeležbe na dobičku drugih podjetij</t>
  </si>
  <si>
    <t>710100</t>
  </si>
  <si>
    <t>Prejete dividende iz naslova finančnih naložb v podjetja</t>
  </si>
  <si>
    <t>71010000</t>
  </si>
  <si>
    <t>71010001</t>
  </si>
  <si>
    <t>71010002</t>
  </si>
  <si>
    <t>71010003</t>
  </si>
  <si>
    <t>Certus d.d.</t>
  </si>
  <si>
    <t>71010004</t>
  </si>
  <si>
    <t>Probanka d.d.</t>
  </si>
  <si>
    <t>71010005</t>
  </si>
  <si>
    <t>Pogrebno podjetje Maribor d.d.</t>
  </si>
  <si>
    <t>71010006</t>
  </si>
  <si>
    <t>Tržnice Maribor d.d.</t>
  </si>
  <si>
    <t>71010007</t>
  </si>
  <si>
    <t>STTC d.d.</t>
  </si>
  <si>
    <t>71010008</t>
  </si>
  <si>
    <t>Cestno podjetje Maribor d.d.</t>
  </si>
  <si>
    <t>Prihodki od obresti</t>
  </si>
  <si>
    <t>710200</t>
  </si>
  <si>
    <t>Prihodki od obresti od sredstev na vpogled</t>
  </si>
  <si>
    <t>710201</t>
  </si>
  <si>
    <t>Prih. od obresti od vezanih tolarskih depozitov iz nenamen. sredstev</t>
  </si>
  <si>
    <t>710205</t>
  </si>
  <si>
    <t>Prihodki od premoženja</t>
  </si>
  <si>
    <t>710301</t>
  </si>
  <si>
    <t>Prihodki od najemnin za poslovne prostore</t>
  </si>
  <si>
    <t>710302</t>
  </si>
  <si>
    <t>Prihodki od najemnin za stanovanja</t>
  </si>
  <si>
    <t>710304</t>
  </si>
  <si>
    <t>Prih.od drugih najemnin</t>
  </si>
  <si>
    <t>71030400</t>
  </si>
  <si>
    <t xml:space="preserve">prihodki od najemnin za upravne prostore </t>
  </si>
  <si>
    <t>71030401</t>
  </si>
  <si>
    <t>prihodki od najemnin za uporabo nezazidanih stavbnih zemljišč (vrtovi)</t>
  </si>
  <si>
    <t>71030402</t>
  </si>
  <si>
    <t>prihodki od najemnin javnih površin - za gostinske vrtove</t>
  </si>
  <si>
    <t>71030403</t>
  </si>
  <si>
    <t>prihodki od najemnin javnih površin - za kioske</t>
  </si>
  <si>
    <t>71030404</t>
  </si>
  <si>
    <t>prihodki od najemnin za Izobraževalni center Pekre</t>
  </si>
  <si>
    <t>71030405</t>
  </si>
  <si>
    <t>prihodki od parkirnin v modri coni</t>
  </si>
  <si>
    <t>71030406</t>
  </si>
  <si>
    <t>prihodki od parkirnin na javnih parkiriščih</t>
  </si>
  <si>
    <t>71030407</t>
  </si>
  <si>
    <t>prihodki od najemnin za stojnice</t>
  </si>
  <si>
    <t>71030408</t>
  </si>
  <si>
    <t>prihodki od prevoznin v peš coni</t>
  </si>
  <si>
    <t>71030409</t>
  </si>
  <si>
    <t>prihodki od najema jav. površin za prireditve in sejme</t>
  </si>
  <si>
    <t>71030410</t>
  </si>
  <si>
    <t>prihodki od drugih najemnin - ostalo JPGSZ</t>
  </si>
  <si>
    <t>710305</t>
  </si>
  <si>
    <t>Prihodki od zakupnin</t>
  </si>
  <si>
    <t>710306</t>
  </si>
  <si>
    <t>Prihodki iz naslova podeljenih koncesij</t>
  </si>
  <si>
    <t>71030600</t>
  </si>
  <si>
    <t>prihodki od uporabe javne infrastrukture</t>
  </si>
  <si>
    <t>prihodki od koncesije za opravljanje javnega mestnega prometa</t>
  </si>
  <si>
    <t>71030601</t>
  </si>
  <si>
    <t>prihodki od koncesije za distribucijo zemeljskega plina</t>
  </si>
  <si>
    <t>71030602</t>
  </si>
  <si>
    <t>prihodki od koncesije za upepeljevanje</t>
  </si>
  <si>
    <t>71030603</t>
  </si>
  <si>
    <t>prihodki od koncesij za oglaševanje</t>
  </si>
  <si>
    <t>71030604</t>
  </si>
  <si>
    <t>prihodki od koncesije za vzdrževanje in upravljanje tržnic</t>
  </si>
  <si>
    <t>71030605</t>
  </si>
  <si>
    <t>prihodki od koncesije za urejanje pokopališč in pogrebne storitve</t>
  </si>
  <si>
    <t>71030606</t>
  </si>
  <si>
    <t>prihodki od koncesije za opravljanje dimnikarske dejavnosti</t>
  </si>
  <si>
    <t>71030608</t>
  </si>
  <si>
    <t>prih. od konc. za vzdržev. in urejanje javnih pešpoti in zelenih površin</t>
  </si>
  <si>
    <t>71030609</t>
  </si>
  <si>
    <t>prih. od koncesije za upravljanje s sistemom pohorskih žičnic in vlečnic</t>
  </si>
  <si>
    <t>71030610</t>
  </si>
  <si>
    <t>prihodki od koncesije za upravljanje nove avtobusne postaje</t>
  </si>
  <si>
    <t>Prihodki iz naslova koncesijskih dajatev od posebnih iger na srečo</t>
  </si>
  <si>
    <t>Zamudne obresti od koncesijskih dajatev od posebnih iger na srečo</t>
  </si>
  <si>
    <t>710399</t>
  </si>
  <si>
    <t>Drugi prihodki od premoženja</t>
  </si>
  <si>
    <t>71039900</t>
  </si>
  <si>
    <t>obratovalni stroški najemnikov upravnih prostorov</t>
  </si>
  <si>
    <t>71039901</t>
  </si>
  <si>
    <t>71039902</t>
  </si>
  <si>
    <t>uporabnina za odlaganje kom. odpadkov na deponijo Pobrežje</t>
  </si>
  <si>
    <t>TAKSE IN PRISTOJBINE</t>
  </si>
  <si>
    <t>Upravne takse</t>
  </si>
  <si>
    <t>7111002</t>
  </si>
  <si>
    <t>711199</t>
  </si>
  <si>
    <t>Druge pristojbine</t>
  </si>
  <si>
    <t>DENARNE KAZNI</t>
  </si>
  <si>
    <t>Denarne kazni</t>
  </si>
  <si>
    <t>712001</t>
  </si>
  <si>
    <t>Denarne kazni za prekrške</t>
  </si>
  <si>
    <t>712005</t>
  </si>
  <si>
    <t>Denarne kazni v upravni izvršbi</t>
  </si>
  <si>
    <t>712007</t>
  </si>
  <si>
    <t>Nadomestilo za degradacijo in uzurpacijo prostora</t>
  </si>
  <si>
    <t>PRIHODKI OD PRODAJE BLAGA IN STORITEV</t>
  </si>
  <si>
    <t>Prihodki od prodaje blaga in storitev</t>
  </si>
  <si>
    <t>713000</t>
  </si>
  <si>
    <t>01</t>
  </si>
  <si>
    <t>02</t>
  </si>
  <si>
    <t>03</t>
  </si>
  <si>
    <t>04</t>
  </si>
  <si>
    <t>05</t>
  </si>
  <si>
    <t>06</t>
  </si>
  <si>
    <t>07</t>
  </si>
  <si>
    <t>08</t>
  </si>
  <si>
    <t>713003</t>
  </si>
  <si>
    <t>Prihodki od počitniške dejavnosti</t>
  </si>
  <si>
    <t>713099</t>
  </si>
  <si>
    <t>Drugi prihodki od prodaje</t>
  </si>
  <si>
    <t>71309900</t>
  </si>
  <si>
    <t>prihodki od prodaje storitev Komunalne inšpekcije</t>
  </si>
  <si>
    <t>71309901</t>
  </si>
  <si>
    <t>prihodki od prodaje storitev Zavoda za prostorsko načrtovanje</t>
  </si>
  <si>
    <t>71309902</t>
  </si>
  <si>
    <t>prihodki od prodaje storitev Odd. za gospodar. z obč. premož.</t>
  </si>
  <si>
    <t>71309903</t>
  </si>
  <si>
    <t>prihodki od prodaje storitev GIS</t>
  </si>
  <si>
    <t>71309904</t>
  </si>
  <si>
    <t>prihodki od  razpisne dokumentacije - natečaji (DD)</t>
  </si>
  <si>
    <t>71309905</t>
  </si>
  <si>
    <t>prihodki od razpisne dokumentacije - natečaji (poslovni prostori)</t>
  </si>
  <si>
    <t>71309906</t>
  </si>
  <si>
    <t>prihodki od razpisne dokumentacije - natečaji (KD)</t>
  </si>
  <si>
    <t>71309907</t>
  </si>
  <si>
    <t>prihodki od prodaje storitev vodniške službe (ZZT)</t>
  </si>
  <si>
    <t>71309908</t>
  </si>
  <si>
    <t>prihodki od promocijskih aktivnosti (ZZT)</t>
  </si>
  <si>
    <t>71309909</t>
  </si>
  <si>
    <t>prihodki od oglaševanja (ZZT)</t>
  </si>
  <si>
    <t>71309910</t>
  </si>
  <si>
    <t>prihodki od organizacije prireditev (ZZT)</t>
  </si>
  <si>
    <t>71309911</t>
  </si>
  <si>
    <t>za koledar turističnih prireditev (ZZT)</t>
  </si>
  <si>
    <t>71309912</t>
  </si>
  <si>
    <t>za usposabljanje turističnih delavcev (BSC Kranj)</t>
  </si>
  <si>
    <t>DRUGI NEDAVČNI PRIHODKI</t>
  </si>
  <si>
    <t>Drugi nedavčni prihodki</t>
  </si>
  <si>
    <t>714100</t>
  </si>
  <si>
    <t>sofinanciranje - BAUMAX</t>
  </si>
  <si>
    <t>71410000</t>
  </si>
  <si>
    <t>namenska sredstva za infrastrukturo MOM (Snaga)</t>
  </si>
  <si>
    <t>71410001</t>
  </si>
  <si>
    <t>71410002</t>
  </si>
  <si>
    <t>714105</t>
  </si>
  <si>
    <t>Prihodki od komunalnih prispevkov</t>
  </si>
  <si>
    <t>714106</t>
  </si>
  <si>
    <t>Prisp.in dopl.občanov za izvaj.določ.progr.tekoč.značaja(dom.oskrba)</t>
  </si>
  <si>
    <t>714107</t>
  </si>
  <si>
    <t>Prisp. in doplač.občanov za izvaj. progr.investic.značaja</t>
  </si>
  <si>
    <t>za kanalizacijo v KS in MČ</t>
  </si>
  <si>
    <t>najemniki poslovnih prostorov</t>
  </si>
  <si>
    <t>714108</t>
  </si>
  <si>
    <t>Sredstva za investicije, pridobljena z občinskimi samoprispevki</t>
  </si>
  <si>
    <t>714109</t>
  </si>
  <si>
    <t>Sredstva za investicije, pridobljena s krajevnimi samoprispevki</t>
  </si>
  <si>
    <t>714110</t>
  </si>
  <si>
    <t>Zamudne obresti od komunalnih prispevkov</t>
  </si>
  <si>
    <t>714199</t>
  </si>
  <si>
    <t>Drugi izredni nedavčni prihodki</t>
  </si>
  <si>
    <t>71419900</t>
  </si>
  <si>
    <t xml:space="preserve">prispevki občin za storitve v VVZ </t>
  </si>
  <si>
    <t>71419901</t>
  </si>
  <si>
    <t>drugi prihodki</t>
  </si>
  <si>
    <t>71419902</t>
  </si>
  <si>
    <t>zavarovalnica</t>
  </si>
  <si>
    <t>71419903</t>
  </si>
  <si>
    <t>provizija CEGOR</t>
  </si>
  <si>
    <t xml:space="preserve">KAPITALSKI PRIHODKI </t>
  </si>
  <si>
    <t>(720+721+722)</t>
  </si>
  <si>
    <t>PRIHODKI OD PRODAJE OSNOVNIH SREDSTEV</t>
  </si>
  <si>
    <t>Prihodki od prodaje zgradb in prostorov</t>
  </si>
  <si>
    <t>720000</t>
  </si>
  <si>
    <t>Prihodki od prodaje poslovnih objektov in poslovnih prostorov</t>
  </si>
  <si>
    <t>720001</t>
  </si>
  <si>
    <t>Prihodki od prodaje stanovanjskih objektov in stanovanj</t>
  </si>
  <si>
    <t>720099</t>
  </si>
  <si>
    <t>Prih. od prodaje drugih zgradb in prostorov (prodaja objektov MOM)</t>
  </si>
  <si>
    <t>Prihodki od prodaje prevoznih sredstev</t>
  </si>
  <si>
    <t>Prihodki od prodaje cestnih motornih vozil</t>
  </si>
  <si>
    <t>Prihodki od prodaje opreme</t>
  </si>
  <si>
    <t>Prihodki od prodaje druge opreme</t>
  </si>
  <si>
    <t>PRIH. OD PRODAJE ZEMLJIŠČ IN NEMATER. PREMOŽ.</t>
  </si>
  <si>
    <t>Prihodki od prodaje stavbnih zemljišč</t>
  </si>
  <si>
    <t>722100</t>
  </si>
  <si>
    <t>72210000</t>
  </si>
  <si>
    <t>prihodki od prodaje stavbnih zemljišč</t>
  </si>
  <si>
    <t>72210001</t>
  </si>
  <si>
    <t>prihodki od prodaje stavbnih zemljišč - Interšpar</t>
  </si>
  <si>
    <t>72210002</t>
  </si>
  <si>
    <t>ostali prihodki stavbnih zemljišč</t>
  </si>
  <si>
    <t xml:space="preserve">PREJETE DONACIJE </t>
  </si>
  <si>
    <t>PREJETE DONACIJE IZ TUJINE</t>
  </si>
  <si>
    <t>Prejete donacije iz tujine za tekočo porabo</t>
  </si>
  <si>
    <t>731000</t>
  </si>
  <si>
    <t>Prejete donacije od mednarodnih institucij za tekočo porabo</t>
  </si>
  <si>
    <t>TRANSFERNI PRIHODKI</t>
  </si>
  <si>
    <t xml:space="preserve">TRANSFERNI PRIHODKI IZ DRUGIH </t>
  </si>
  <si>
    <t xml:space="preserve">      JAVNOFINANČNIH INSTITUCIJ</t>
  </si>
  <si>
    <t>Prejeta sredstva iz državnega proračuna</t>
  </si>
  <si>
    <t>740000</t>
  </si>
  <si>
    <t>Prejeta sred. iz nasl. tekočih obvez. državnega proračuna</t>
  </si>
  <si>
    <t>74000000</t>
  </si>
  <si>
    <t>finančna izravnava - primanjkljaj iz leta 1999</t>
  </si>
  <si>
    <t>74000001</t>
  </si>
  <si>
    <t>finančna izravnava - nakazana v letu 2000</t>
  </si>
  <si>
    <t>740001</t>
  </si>
  <si>
    <t>Prejeta sredstva iz državnega proračuna za investicije</t>
  </si>
  <si>
    <t>74000100</t>
  </si>
  <si>
    <t>na področju športa</t>
  </si>
  <si>
    <t>74000101</t>
  </si>
  <si>
    <t>na področju šolstva</t>
  </si>
  <si>
    <t>74000102</t>
  </si>
  <si>
    <t>na področju kulture</t>
  </si>
  <si>
    <t>74000103</t>
  </si>
  <si>
    <t>na področju zdravstva</t>
  </si>
  <si>
    <t>74000104</t>
  </si>
  <si>
    <t>na področju lokalnih cest</t>
  </si>
  <si>
    <t>74000105</t>
  </si>
  <si>
    <t>na področju uprave (v l.1999 telefonija in ožičenje) - Vlada RS</t>
  </si>
  <si>
    <t>74000106</t>
  </si>
  <si>
    <t>na področju varstva pred požari</t>
  </si>
  <si>
    <t>74000107</t>
  </si>
  <si>
    <t>sofinanciranje ministrstev - MKGP, MOP, MPZ - KD</t>
  </si>
  <si>
    <t>74000108</t>
  </si>
  <si>
    <t>MF - odprava posledic po neurju</t>
  </si>
  <si>
    <t>74000109</t>
  </si>
  <si>
    <t>MOP - za register stavb - GIS</t>
  </si>
  <si>
    <t>74000110</t>
  </si>
  <si>
    <t>MKGP - kmetijstvo</t>
  </si>
  <si>
    <t>740004</t>
  </si>
  <si>
    <t>Druga prejeta sredstva iz državnega proračuna za tekočo porabo</t>
  </si>
  <si>
    <t>74000400</t>
  </si>
  <si>
    <t>za štipendije, prevoze učencev (MŠŠ)</t>
  </si>
  <si>
    <t>74000401</t>
  </si>
  <si>
    <t>za javna dela (ZZZ)</t>
  </si>
  <si>
    <t>74000402</t>
  </si>
  <si>
    <t>za predšolsko vzgojo romskih otrok</t>
  </si>
  <si>
    <t>74000403</t>
  </si>
  <si>
    <t>za občinske programe za otroke in mladino</t>
  </si>
  <si>
    <t>74000404</t>
  </si>
  <si>
    <t>za pouk plavanja</t>
  </si>
  <si>
    <t>74000405</t>
  </si>
  <si>
    <t>MMGT - ZZT</t>
  </si>
  <si>
    <t>74000406</t>
  </si>
  <si>
    <t>MKGP - KD</t>
  </si>
  <si>
    <t>74000407</t>
  </si>
  <si>
    <t>MOP - ZPN</t>
  </si>
  <si>
    <t>za sof.stroš.objekta in oskrbnika - Bolfenk - Uprava RS za var. narave</t>
  </si>
  <si>
    <t>Prejeta sredstva iz proračunov lokalnih skupnosti</t>
  </si>
  <si>
    <t>740100</t>
  </si>
  <si>
    <t>Prejeta sredstva iz proračunov lokalnih skupnosti za tekočo porabo</t>
  </si>
  <si>
    <t>74010005</t>
  </si>
  <si>
    <t>za mladinsko raziskovalno dejavnost</t>
  </si>
  <si>
    <t>74010006</t>
  </si>
  <si>
    <t>sofin. deleži drugih občin pri financiranju redne dejav. kult.zavodov</t>
  </si>
  <si>
    <t>740101</t>
  </si>
  <si>
    <t>Prejeta sredstva iz proračunov lokalnih skupnosti za investicije</t>
  </si>
  <si>
    <t>74010100</t>
  </si>
  <si>
    <t>za uporabo odlagališča odpadkov</t>
  </si>
  <si>
    <t>74010101</t>
  </si>
  <si>
    <t>za sanacijo odlagališča odpadkov</t>
  </si>
  <si>
    <t>74010102</t>
  </si>
  <si>
    <t>za odškodnino za zmanjšanje kakovosti bivalnega okolja</t>
  </si>
  <si>
    <t>74010103</t>
  </si>
  <si>
    <t>za CEGOR</t>
  </si>
  <si>
    <t>74010104</t>
  </si>
  <si>
    <t>za akcije MČ in KS</t>
  </si>
  <si>
    <t>74010105</t>
  </si>
  <si>
    <t>turistična obmejna cona - kolesarske poti</t>
  </si>
  <si>
    <t>PRENOS PRIHODKOV IN DR. PREJEMKOV</t>
  </si>
  <si>
    <t>II.</t>
  </si>
  <si>
    <t>S K U P A J   O D H O D K I</t>
  </si>
  <si>
    <t>(40+41+42+43)</t>
  </si>
  <si>
    <t>TEKOČI 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</si>
  <si>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</si>
  <si>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</si>
  <si>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</si>
  <si>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</si>
  <si>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</si>
  <si>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</si>
  <si>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</si>
  <si>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</si>
  <si>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</si>
  <si>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PRISP. DELODAJALCEV ZA SOCIALNO VARNOST</t>
  </si>
  <si>
    <t>Prispevek za pokojninsko in invalidsko zavarovanje</t>
  </si>
  <si>
    <t>Prispevek za zdravstveno zavarovanje</t>
  </si>
  <si>
    <t>Prispevek za zaposlovanje</t>
  </si>
  <si>
    <t>Prispevek za porodniško varstvo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</si>
  <si>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</si>
  <si>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</si>
  <si>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</si>
  <si>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</si>
  <si>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</si>
  <si>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</si>
  <si>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</si>
  <si>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</si>
  <si>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</si>
  <si>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Drugi operativni odhodki</t>
  </si>
  <si>
    <t>PLAČILA DOMAČIH OBRESTI</t>
  </si>
  <si>
    <t>Plačila obresti od kreditov poslovnim bankam</t>
  </si>
  <si>
    <t>Plač. obresti od kred. drugim domačim kreditodajalcem</t>
  </si>
  <si>
    <t>Plačila obresti od vrednostnih papirjev</t>
  </si>
  <si>
    <t>REZERVE</t>
  </si>
  <si>
    <t>Splošna proračunska rezervacija</t>
  </si>
  <si>
    <t>Proračunska rezerva</t>
  </si>
  <si>
    <t>Druge rezerve</t>
  </si>
  <si>
    <t>TEKOČI  TRANSFERI</t>
  </si>
  <si>
    <t>(410+411+412+413+414)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</si>
  <si>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</si>
  <si>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</si>
  <si>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</si>
  <si>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</si>
  <si>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</si>
  <si>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</si>
  <si>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</si>
  <si>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</si>
  <si>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voj. nasilja</t>
  </si>
  <si>
    <t>Štipendije</t>
  </si>
  <si>
    <t>Drugi transferi posameznikom</t>
  </si>
  <si>
    <t>TRANSFERI NEPROFITNIM ORGANIZACIJAM IN</t>
  </si>
  <si>
    <t>USTANOVAM</t>
  </si>
  <si>
    <t>Tekoči transferi neprofitnim organizacijam in ustanovam</t>
  </si>
  <si>
    <t>DRUGI TEKOČI DOMAČI TRANSFERI</t>
  </si>
  <si>
    <t>Tekoči transferi drugim ravnem države</t>
  </si>
  <si>
    <t>Tekoči transferi v sklade socialnega zavarovanja</t>
  </si>
  <si>
    <t>Tekoči transferi v druge javne sklade in agencije</t>
  </si>
  <si>
    <t>Tekoči transferi v javne zavode in dr. izvajalce jav. služb</t>
  </si>
  <si>
    <t>TEKOČI TRANSFERI V TUJINO</t>
  </si>
  <si>
    <t>Tekoči transferi mednarodnim institucijam</t>
  </si>
  <si>
    <t>Tekoči transferi tujim vladnim institucijam</t>
  </si>
  <si>
    <t>Tekoči transferi neprofitnim organizacijam v tujino</t>
  </si>
  <si>
    <t>INVESTICIJSKI 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</si>
  <si>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</si>
  <si>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</si>
  <si>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</si>
  <si>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</si>
  <si>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</si>
  <si>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</si>
  <si>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</si>
  <si>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</si>
  <si>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</si>
  <si>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izvedlj.projektov,proj.dokum.,nadzor in inv. inženir.</t>
  </si>
  <si>
    <t>INVESTICIJSKI  TRANSFERI  (430)</t>
  </si>
  <si>
    <t>INVESTICIJSKI TRANSFERI</t>
  </si>
  <si>
    <t>Investicijski transferi drugim ravnem države</t>
  </si>
  <si>
    <t>Investicijski transferi javnim skladom in agencijam</t>
  </si>
  <si>
    <t>Investicijski transferi neprofitnim organizacijam</t>
  </si>
  <si>
    <t>Investicijski transferi javnim podjetjem</t>
  </si>
  <si>
    <t>Kapitalski transferi finančnim institucijam</t>
  </si>
  <si>
    <t>Investicijski transferi privatnim podjetjem in zasebnikom</t>
  </si>
  <si>
    <t>Investicijski transferi posameznikom</t>
  </si>
  <si>
    <t>Inv. transferi javnim zavodom in javnim gosp. zavodom</t>
  </si>
  <si>
    <t>Investicijski transferi v tujino</t>
  </si>
  <si>
    <t>III.</t>
  </si>
  <si>
    <t>PRORAČUNSKI  PRESEŽEK</t>
  </si>
  <si>
    <t>(PRIMANJKLJAJ)  (I. - II.)</t>
  </si>
  <si>
    <t>(SKUPAJ PRIHODKI MINUS SKUPAJ ODHODKI)</t>
  </si>
  <si>
    <t>B.</t>
  </si>
  <si>
    <t>RAČUN  FINANČNIH  TERJATEV  IN  NALOŽB</t>
  </si>
  <si>
    <t>IV.</t>
  </si>
  <si>
    <t>PREJETA  VRAČILA  DANIH  POSOJIL  IN</t>
  </si>
  <si>
    <t xml:space="preserve">PRODAJA  KAPITALSKIH  DELEŽEV  </t>
  </si>
  <si>
    <t>(750+751)</t>
  </si>
  <si>
    <t>PREJETA VRAČILA DANIH POSOJIL</t>
  </si>
  <si>
    <t>Prejeta vračila danih posojil od posameznikov</t>
  </si>
  <si>
    <t>Prejeta vračila danih posojil od finančnih institucij</t>
  </si>
  <si>
    <t>PRODAJA KAPITALSKIH DELEŽEV</t>
  </si>
  <si>
    <t>Sred., pridoblj. s prodajo kap. deležev v javnih podjetjih</t>
  </si>
  <si>
    <t>Sred., pridoblj. s prodajo kap. deležev v finanč. instituc.</t>
  </si>
  <si>
    <t>Sred., pridoblj. s prodajo kap. deležev v privat. podjetjih</t>
  </si>
  <si>
    <t>V.</t>
  </si>
  <si>
    <t>DANA  POSOJILA  IN  POVEČANJE</t>
  </si>
  <si>
    <t>KAPITALSKIH  DELEŽEV 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</si>
  <si>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</si>
  <si>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</si>
  <si>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</si>
  <si>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</si>
  <si>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</si>
  <si>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</t>
  </si>
  <si>
    <t>Dana posojila drugim ravnem države</t>
  </si>
  <si>
    <t>Dana posojila v tujino</t>
  </si>
  <si>
    <t>POVEČANJE KAPITALSKIH DELEŽEV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</si>
  <si>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</si>
  <si>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</si>
  <si>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</si>
  <si>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</si>
  <si>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</si>
  <si>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VI.</t>
  </si>
  <si>
    <t>PREJETA  MINUS  DANA  POSOJILA  IN</t>
  </si>
  <si>
    <t>SPREMEMBE  KAPITALSKIH  DELEŽEV</t>
  </si>
  <si>
    <t>(IV. - V.)</t>
  </si>
  <si>
    <t>VII.</t>
  </si>
  <si>
    <t>SKUPNI  PRESEŽEK  (PRIMANJKLJAJ)</t>
  </si>
  <si>
    <t>(I. + IV.) - (II. + V.)</t>
  </si>
  <si>
    <t>(PRIHODKI IN PREJETA VRAČILA DANIH POSOJIL</t>
  </si>
  <si>
    <t>MINUS ODHODKI IN DANA POSOJILA)</t>
  </si>
  <si>
    <t>C.</t>
  </si>
  <si>
    <t>RAČUN  FINANCIRANJA</t>
  </si>
  <si>
    <t>VIII.</t>
  </si>
  <si>
    <t>ZADOLŽEVANJE  (500+501)</t>
  </si>
  <si>
    <t>DOMAČE ZADOLŽEVANJE</t>
  </si>
  <si>
    <t>Najeti krediti pri poslovnih bankah</t>
  </si>
  <si>
    <t>IX.</t>
  </si>
  <si>
    <t>ODPLAČILA  DOLGA  (550+551)</t>
  </si>
  <si>
    <t>ODPLAČILA DOMAČEGA DOLGA</t>
  </si>
  <si>
    <t>Odplačila kreditov poslovnim bankam</t>
  </si>
  <si>
    <t>Odplačila kreditov drugim domačim kreditodajalcem</t>
  </si>
  <si>
    <t>X.</t>
  </si>
  <si>
    <t>NETO  ZADOLŽEVANJE  (VIII. - IX.)</t>
  </si>
  <si>
    <t>XI.</t>
  </si>
  <si>
    <t>POVEČANJE  (ZMANJŠANJE)  SREDSTEV</t>
  </si>
  <si>
    <t xml:space="preserve">NA  RAČUNIH </t>
  </si>
  <si>
    <t>(III.+VI.+ X.)=(I.+IV.+VIII.)-(II.+V.+IX.)</t>
  </si>
  <si>
    <t>XII.</t>
  </si>
  <si>
    <t>STANJE SREDSTEV NA RAČUNU</t>
  </si>
  <si>
    <t>KONEC PRETEKLEGA LETA (1999)</t>
  </si>
  <si>
    <t>XIII.</t>
  </si>
  <si>
    <t>KONEC TEKOČEGA LETA (2000) (XI.+XII.)</t>
  </si>
  <si>
    <t>71000004</t>
  </si>
  <si>
    <t>Snaga d.o.o.</t>
  </si>
  <si>
    <t>MOP - odprava posledic suše - kmetijstvo</t>
  </si>
  <si>
    <t xml:space="preserve">Prerazp. rebalans </t>
  </si>
  <si>
    <t>ekološki tolar - namen.sr.v ceni storitev za gradnjo CČN in kolektorja</t>
  </si>
  <si>
    <t>ekološki tolar - namen.sr.v ceni storitev za program gosp. z odpadki</t>
  </si>
  <si>
    <t>71309913</t>
  </si>
  <si>
    <t>za urejanje del. razmerij (MU za LTO)</t>
  </si>
  <si>
    <t>Drugi prihodki od obresti</t>
  </si>
  <si>
    <t>710207</t>
  </si>
  <si>
    <t>Prihodki od obresti od deviznih depozitov iz ostalih namen. sred.</t>
  </si>
  <si>
    <t>Prihodki od obresti od vezanih tolarskih depozitov iz ostalih namen. sred.</t>
  </si>
  <si>
    <t xml:space="preserve">Rebalans </t>
  </si>
  <si>
    <t>7:6</t>
  </si>
  <si>
    <t>7:5</t>
  </si>
  <si>
    <t>real.2000</t>
  </si>
  <si>
    <t>7:3</t>
  </si>
  <si>
    <t>Proračun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</si>
</sst>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5" xfId="0" applyFont="1" applyBorder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6" xfId="0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7" xfId="0" applyFont="1" applyBorder="1" applyAlignment="1">
      <alignment horizontal="left"/>
    </xf>
    <xf numFmtId="1" fontId="6" fillId="0" borderId="0" xfId="0" applyNumberFormat="1" applyFont="1" applyAlignment="1" quotePrefix="1">
      <alignment horizontal="left"/>
    </xf>
    <xf numFmtId="16" fontId="0" fillId="0" borderId="0" xfId="0" applyNumberFormat="1" applyAlignment="1" quotePrefix="1">
      <alignment/>
    </xf>
    <xf numFmtId="16" fontId="8" fillId="0" borderId="0" xfId="0" applyNumberFormat="1" applyFont="1" applyAlignment="1" quotePrefix="1">
      <alignment/>
    </xf>
    <xf numFmtId="0" fontId="1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 quotePrefix="1">
      <alignment/>
    </xf>
    <xf numFmtId="0" fontId="8" fillId="0" borderId="5" xfId="0" applyFont="1" applyBorder="1" applyAlignment="1">
      <alignment/>
    </xf>
    <xf numFmtId="14" fontId="6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164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6" fontId="8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tabSelected="1" zoomScale="85" zoomScaleNormal="85" workbookViewId="0" topLeftCell="A1">
      <pane ySplit="5" topLeftCell="BM6" activePane="bottomLeft" state="frozen"/>
      <selection pane="topLeft" activeCell="W1" sqref="W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.625" style="0" customWidth="1"/>
    <col min="3" max="3" width="46.875" style="0" customWidth="1"/>
    <col min="4" max="5" width="18.25390625" style="0" bestFit="1" customWidth="1"/>
    <col min="6" max="7" width="18.25390625" style="16" bestFit="1" customWidth="1"/>
    <col min="8" max="8" width="21.875" style="0" bestFit="1" customWidth="1"/>
    <col min="9" max="9" width="7.375" style="0" customWidth="1"/>
    <col min="10" max="10" width="7.625" style="0" customWidth="1"/>
    <col min="11" max="11" width="7.75390625" style="0" customWidth="1"/>
    <col min="12" max="12" width="8.375" style="0" customWidth="1"/>
  </cols>
  <sheetData>
    <row r="1" spans="1:12" s="3" customFormat="1" ht="18">
      <c r="A1" s="1" t="s">
        <v>0</v>
      </c>
      <c r="B1" s="2" t="s">
        <v>1</v>
      </c>
      <c r="D1" s="4"/>
      <c r="E1" s="5"/>
      <c r="F1" s="6"/>
      <c r="G1" s="6"/>
      <c r="H1" s="95"/>
      <c r="I1" s="95"/>
      <c r="J1" s="95"/>
      <c r="K1" s="4"/>
      <c r="L1" s="4"/>
    </row>
    <row r="2" spans="1:12" ht="12.75">
      <c r="A2" s="7"/>
      <c r="B2" s="7"/>
      <c r="C2" s="7"/>
      <c r="D2" s="8"/>
      <c r="E2" s="8"/>
      <c r="F2" s="9"/>
      <c r="G2" s="9"/>
      <c r="H2" s="8"/>
      <c r="I2" s="8"/>
      <c r="J2" s="8"/>
      <c r="K2" s="8"/>
      <c r="L2" s="8"/>
    </row>
    <row r="3" spans="1:12" ht="12.75">
      <c r="A3" s="10" t="s">
        <v>2</v>
      </c>
      <c r="B3" s="11"/>
      <c r="C3" s="11" t="s">
        <v>3</v>
      </c>
      <c r="D3" s="11" t="s">
        <v>4</v>
      </c>
      <c r="E3" s="11" t="s">
        <v>589</v>
      </c>
      <c r="F3" s="12" t="s">
        <v>584</v>
      </c>
      <c r="G3" s="12" t="s">
        <v>575</v>
      </c>
      <c r="H3" s="11" t="s">
        <v>7</v>
      </c>
      <c r="I3" s="11" t="s">
        <v>5</v>
      </c>
      <c r="J3" s="11" t="s">
        <v>5</v>
      </c>
      <c r="K3" s="11" t="s">
        <v>5</v>
      </c>
      <c r="L3" s="11" t="s">
        <v>8</v>
      </c>
    </row>
    <row r="4" spans="1:12" ht="12.75">
      <c r="A4" s="10" t="s">
        <v>9</v>
      </c>
      <c r="B4" s="11"/>
      <c r="C4" s="11"/>
      <c r="D4" s="11">
        <v>1999</v>
      </c>
      <c r="E4" s="11">
        <v>2000</v>
      </c>
      <c r="F4" s="11">
        <v>2000</v>
      </c>
      <c r="G4" s="11">
        <v>2000</v>
      </c>
      <c r="H4" s="11">
        <v>2000</v>
      </c>
      <c r="I4" s="13" t="s">
        <v>588</v>
      </c>
      <c r="J4" s="13" t="s">
        <v>586</v>
      </c>
      <c r="K4" s="13" t="s">
        <v>585</v>
      </c>
      <c r="L4" s="11" t="s">
        <v>587</v>
      </c>
    </row>
    <row r="5" spans="1:12" ht="13.5" thickBot="1">
      <c r="A5" s="14">
        <v>1</v>
      </c>
      <c r="B5" s="14"/>
      <c r="C5" s="14">
        <v>2</v>
      </c>
      <c r="D5" s="14">
        <v>3</v>
      </c>
      <c r="E5" s="14">
        <v>4</v>
      </c>
      <c r="F5" s="15">
        <v>5</v>
      </c>
      <c r="G5" s="15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</row>
    <row r="6" ht="13.5" thickTop="1"/>
    <row r="7" spans="2:12" s="17" customFormat="1" ht="15">
      <c r="B7" s="18" t="s">
        <v>10</v>
      </c>
      <c r="C7" s="19" t="s">
        <v>11</v>
      </c>
      <c r="D7" s="20">
        <f>D12+D86+D210+D230+D237+D281</f>
        <v>11698232747.39</v>
      </c>
      <c r="E7" s="20">
        <f>E12+E86+E210+E230+E237+E281</f>
        <v>12421714000</v>
      </c>
      <c r="F7" s="20">
        <f>F12+F86+F210+F230+F237</f>
        <v>13419228850</v>
      </c>
      <c r="G7" s="20">
        <f>G12+G86+G210+G230+G237</f>
        <v>13591287303</v>
      </c>
      <c r="H7" s="22">
        <f>H12+H86+H210+H230+H237+H281</f>
        <v>12580495275.550001</v>
      </c>
      <c r="I7" s="21">
        <f>H7/D7*100</f>
        <v>107.54184454362856</v>
      </c>
      <c r="J7" s="21">
        <f>H7/F7*100</f>
        <v>93.74976324030722</v>
      </c>
      <c r="K7" s="21">
        <f>+H7/$G7*100</f>
        <v>92.56294120699746</v>
      </c>
      <c r="L7" s="100">
        <f>L12+L86+L210+L230+L237+L281</f>
        <v>0.9999999999999998</v>
      </c>
    </row>
    <row r="8" spans="3:12" s="17" customFormat="1" ht="15">
      <c r="C8" s="23" t="s">
        <v>12</v>
      </c>
      <c r="D8" s="24"/>
      <c r="E8" s="24"/>
      <c r="F8" s="24"/>
      <c r="G8" s="24"/>
      <c r="H8" s="25"/>
      <c r="I8" s="21"/>
      <c r="J8" s="21"/>
      <c r="K8" s="21"/>
      <c r="L8" s="101"/>
    </row>
    <row r="9" spans="4:12" s="26" customFormat="1" ht="12.75" customHeight="1">
      <c r="D9" s="27"/>
      <c r="E9" s="27"/>
      <c r="F9" s="27"/>
      <c r="G9" s="27"/>
      <c r="H9" s="29"/>
      <c r="I9" s="21"/>
      <c r="J9" s="21"/>
      <c r="K9" s="21"/>
      <c r="L9" s="102"/>
    </row>
    <row r="10" spans="3:12" s="17" customFormat="1" ht="15">
      <c r="C10" s="30" t="s">
        <v>13</v>
      </c>
      <c r="D10" s="20">
        <f>D12+D86</f>
        <v>9962862071.05</v>
      </c>
      <c r="E10" s="20">
        <f>E12+E86</f>
        <v>10870703000</v>
      </c>
      <c r="F10" s="20">
        <f>F12+F86</f>
        <v>11653051300</v>
      </c>
      <c r="G10" s="20">
        <f>G12+G86</f>
        <v>11756533178</v>
      </c>
      <c r="H10" s="22">
        <f>H12+H86</f>
        <v>11298979132.76</v>
      </c>
      <c r="I10" s="21">
        <f>H10/D10*100</f>
        <v>113.41097620524607</v>
      </c>
      <c r="J10" s="21">
        <f>H10/F10*100</f>
        <v>96.96154974242668</v>
      </c>
      <c r="K10" s="21">
        <f>+H10/$G10*100</f>
        <v>96.10808698183048</v>
      </c>
      <c r="L10" s="100">
        <f>H10/$H$7</f>
        <v>0.8981346827194786</v>
      </c>
    </row>
    <row r="11" spans="4:12" ht="12.75" customHeight="1">
      <c r="D11" s="16"/>
      <c r="E11" s="16"/>
      <c r="H11" s="32"/>
      <c r="I11" s="21"/>
      <c r="J11" s="21"/>
      <c r="K11" s="21"/>
      <c r="L11" s="103"/>
    </row>
    <row r="12" spans="1:12" s="17" customFormat="1" ht="15">
      <c r="A12" s="33">
        <v>70</v>
      </c>
      <c r="B12" s="30"/>
      <c r="C12" s="30" t="s">
        <v>14</v>
      </c>
      <c r="D12" s="20">
        <f>D15+D37+D58+D83</f>
        <v>7587047170.34</v>
      </c>
      <c r="E12" s="20">
        <f>E15+E37+E58+E83</f>
        <v>8245200000</v>
      </c>
      <c r="F12" s="20">
        <f>F15+F37+F58+F83</f>
        <v>8704076300</v>
      </c>
      <c r="G12" s="20">
        <f>G15+G37+G58+G83</f>
        <v>8800558178</v>
      </c>
      <c r="H12" s="22">
        <f>H15+H37+H58+H83</f>
        <v>8273068150.53</v>
      </c>
      <c r="I12" s="21">
        <f>H12/D12*100</f>
        <v>109.04200230719347</v>
      </c>
      <c r="J12" s="21">
        <f>H12/F12*100</f>
        <v>95.04820345531667</v>
      </c>
      <c r="K12" s="21">
        <f>+H12/$G12*100</f>
        <v>94.0061753265987</v>
      </c>
      <c r="L12" s="100">
        <f aca="true" t="shared" si="0" ref="L12:L74">H12/$H$7</f>
        <v>0.6576106877611234</v>
      </c>
    </row>
    <row r="13" spans="1:12" ht="15">
      <c r="A13" s="34"/>
      <c r="C13" s="35" t="s">
        <v>15</v>
      </c>
      <c r="D13" s="16"/>
      <c r="E13" s="16"/>
      <c r="H13" s="32"/>
      <c r="I13" s="21"/>
      <c r="J13" s="21"/>
      <c r="K13" s="21"/>
      <c r="L13" s="103"/>
    </row>
    <row r="14" spans="1:12" ht="12.75" customHeight="1">
      <c r="A14" s="34"/>
      <c r="D14" s="16"/>
      <c r="E14" s="16"/>
      <c r="H14" s="32"/>
      <c r="I14" s="21"/>
      <c r="J14" s="21"/>
      <c r="K14" s="21"/>
      <c r="L14" s="103"/>
    </row>
    <row r="15" spans="1:12" s="37" customFormat="1" ht="12.75">
      <c r="A15" s="36">
        <v>700</v>
      </c>
      <c r="C15" s="37" t="s">
        <v>16</v>
      </c>
      <c r="D15" s="38">
        <f>D16</f>
        <v>4956166380</v>
      </c>
      <c r="E15" s="38">
        <f>E16</f>
        <v>5505000000</v>
      </c>
      <c r="F15" s="38">
        <f>F16</f>
        <v>5505000000</v>
      </c>
      <c r="G15" s="38">
        <f>G16</f>
        <v>5505000000</v>
      </c>
      <c r="H15" s="41">
        <f>H16</f>
        <v>5491257321.16</v>
      </c>
      <c r="I15" s="28">
        <f aca="true" t="shared" si="1" ref="I15:I30">H15/D15*100</f>
        <v>110.79646848256131</v>
      </c>
      <c r="J15" s="28">
        <f aca="true" t="shared" si="2" ref="J15:J30">H15/F15*100</f>
        <v>99.75036005740236</v>
      </c>
      <c r="K15" s="28">
        <f aca="true" t="shared" si="3" ref="K15:K30">+H15/$G15*100</f>
        <v>99.75036005740236</v>
      </c>
      <c r="L15" s="104">
        <f t="shared" si="0"/>
        <v>0.43648975663399947</v>
      </c>
    </row>
    <row r="16" spans="1:12" s="37" customFormat="1" ht="12.75">
      <c r="A16" s="36">
        <v>7000</v>
      </c>
      <c r="C16" s="37" t="s">
        <v>17</v>
      </c>
      <c r="D16" s="38">
        <f>SUM(D17:D35)</f>
        <v>4956166380</v>
      </c>
      <c r="E16" s="38">
        <f>SUM(E17:E35)</f>
        <v>5505000000</v>
      </c>
      <c r="F16" s="38">
        <f>SUM(F17:F35)</f>
        <v>5505000000</v>
      </c>
      <c r="G16" s="38">
        <f>SUM(G17:G35)</f>
        <v>5505000000</v>
      </c>
      <c r="H16" s="41">
        <f>SUM(H17:H35)</f>
        <v>5491257321.16</v>
      </c>
      <c r="I16" s="28">
        <f t="shared" si="1"/>
        <v>110.79646848256131</v>
      </c>
      <c r="J16" s="28">
        <f t="shared" si="2"/>
        <v>99.75036005740236</v>
      </c>
      <c r="K16" s="28">
        <f t="shared" si="3"/>
        <v>99.75036005740236</v>
      </c>
      <c r="L16" s="104">
        <f t="shared" si="0"/>
        <v>0.43648975663399947</v>
      </c>
    </row>
    <row r="17" spans="1:12" s="43" customFormat="1" ht="12.75" customHeight="1">
      <c r="A17" s="42" t="s">
        <v>18</v>
      </c>
      <c r="C17" s="43" t="s">
        <v>19</v>
      </c>
      <c r="D17" s="44">
        <v>147820029</v>
      </c>
      <c r="E17" s="44">
        <f>127000000+3000000</f>
        <v>130000000</v>
      </c>
      <c r="F17" s="44">
        <f>127000000+3000000</f>
        <v>130000000</v>
      </c>
      <c r="G17" s="44">
        <f>127000000+3000000</f>
        <v>130000000</v>
      </c>
      <c r="H17" s="46">
        <v>155592303.6</v>
      </c>
      <c r="I17" s="45">
        <f t="shared" si="1"/>
        <v>105.25793064213241</v>
      </c>
      <c r="J17" s="45">
        <f t="shared" si="2"/>
        <v>119.68638738461539</v>
      </c>
      <c r="K17" s="45">
        <f t="shared" si="3"/>
        <v>119.68638738461539</v>
      </c>
      <c r="L17" s="105">
        <f t="shared" si="0"/>
        <v>0.012367740712274757</v>
      </c>
    </row>
    <row r="18" spans="1:12" s="43" customFormat="1" ht="12.75" customHeight="1">
      <c r="A18" s="42" t="s">
        <v>20</v>
      </c>
      <c r="C18" s="43" t="s">
        <v>21</v>
      </c>
      <c r="D18" s="44">
        <v>4192626668</v>
      </c>
      <c r="E18" s="44">
        <f>4590000000+100000000</f>
        <v>4690000000</v>
      </c>
      <c r="F18" s="44">
        <f>4590000000+100000000</f>
        <v>4690000000</v>
      </c>
      <c r="G18" s="44">
        <f>4590000000+100000000</f>
        <v>4690000000</v>
      </c>
      <c r="H18" s="46">
        <v>4677666128.86</v>
      </c>
      <c r="I18" s="45">
        <f t="shared" si="1"/>
        <v>111.56886837938703</v>
      </c>
      <c r="J18" s="45">
        <f t="shared" si="2"/>
        <v>99.7370176729211</v>
      </c>
      <c r="K18" s="45">
        <f t="shared" si="3"/>
        <v>99.7370176729211</v>
      </c>
      <c r="L18" s="105">
        <f t="shared" si="0"/>
        <v>0.37181891701441766</v>
      </c>
    </row>
    <row r="19" spans="1:12" s="43" customFormat="1" ht="12.75" customHeight="1">
      <c r="A19" s="42" t="s">
        <v>22</v>
      </c>
      <c r="C19" s="43" t="s">
        <v>23</v>
      </c>
      <c r="D19" s="44">
        <v>64987855</v>
      </c>
      <c r="E19" s="44">
        <f>72000000+4000000</f>
        <v>76000000</v>
      </c>
      <c r="F19" s="44">
        <f>72000000+4000000</f>
        <v>76000000</v>
      </c>
      <c r="G19" s="44">
        <f>72000000+4000000</f>
        <v>76000000</v>
      </c>
      <c r="H19" s="46">
        <v>67580831.87</v>
      </c>
      <c r="I19" s="45">
        <f t="shared" si="1"/>
        <v>103.98994068968734</v>
      </c>
      <c r="J19" s="45">
        <f t="shared" si="2"/>
        <v>88.92214719736843</v>
      </c>
      <c r="K19" s="45">
        <f t="shared" si="3"/>
        <v>88.92214719736843</v>
      </c>
      <c r="L19" s="105">
        <f t="shared" si="0"/>
        <v>0.005371873713218772</v>
      </c>
    </row>
    <row r="20" spans="1:12" s="43" customFormat="1" ht="12.75" customHeight="1">
      <c r="A20" s="42" t="s">
        <v>24</v>
      </c>
      <c r="C20" s="43" t="s">
        <v>25</v>
      </c>
      <c r="D20" s="44">
        <v>97955667</v>
      </c>
      <c r="E20" s="44">
        <v>106000000</v>
      </c>
      <c r="F20" s="44">
        <v>106000000</v>
      </c>
      <c r="G20" s="44">
        <v>106000000</v>
      </c>
      <c r="H20" s="46">
        <v>105366540.49</v>
      </c>
      <c r="I20" s="45">
        <f t="shared" si="1"/>
        <v>107.56553828580434</v>
      </c>
      <c r="J20" s="45">
        <f t="shared" si="2"/>
        <v>99.40239668867925</v>
      </c>
      <c r="K20" s="45">
        <f t="shared" si="3"/>
        <v>99.40239668867925</v>
      </c>
      <c r="L20" s="105">
        <f t="shared" si="0"/>
        <v>0.008375388900211127</v>
      </c>
    </row>
    <row r="21" spans="1:12" s="43" customFormat="1" ht="12.75" customHeight="1">
      <c r="A21" s="42" t="s">
        <v>26</v>
      </c>
      <c r="C21" s="43" t="s">
        <v>27</v>
      </c>
      <c r="D21" s="44">
        <v>10736090</v>
      </c>
      <c r="E21" s="44">
        <f>9600000</f>
        <v>9600000</v>
      </c>
      <c r="F21" s="44">
        <f>9600000</f>
        <v>9600000</v>
      </c>
      <c r="G21" s="44">
        <f>9600000</f>
        <v>9600000</v>
      </c>
      <c r="H21" s="46">
        <v>15226316.3</v>
      </c>
      <c r="I21" s="45">
        <f t="shared" si="1"/>
        <v>141.82366485377824</v>
      </c>
      <c r="J21" s="45">
        <f t="shared" si="2"/>
        <v>158.60746145833332</v>
      </c>
      <c r="K21" s="45">
        <f t="shared" si="3"/>
        <v>158.60746145833332</v>
      </c>
      <c r="L21" s="105">
        <f t="shared" si="0"/>
        <v>0.0012103113563098039</v>
      </c>
    </row>
    <row r="22" spans="1:12" s="43" customFormat="1" ht="12.75" customHeight="1">
      <c r="A22" s="42" t="s">
        <v>28</v>
      </c>
      <c r="C22" s="43" t="s">
        <v>29</v>
      </c>
      <c r="D22" s="44">
        <v>990855</v>
      </c>
      <c r="E22" s="44">
        <v>1100000</v>
      </c>
      <c r="F22" s="44">
        <v>1100000</v>
      </c>
      <c r="G22" s="44">
        <v>1100000</v>
      </c>
      <c r="H22" s="46">
        <v>1210301.93</v>
      </c>
      <c r="I22" s="45">
        <f t="shared" si="1"/>
        <v>122.1472294129817</v>
      </c>
      <c r="J22" s="45">
        <f t="shared" si="2"/>
        <v>110.02744818181817</v>
      </c>
      <c r="K22" s="45">
        <f t="shared" si="3"/>
        <v>110.02744818181817</v>
      </c>
      <c r="L22" s="105">
        <f t="shared" si="0"/>
        <v>9.62046329250807E-05</v>
      </c>
    </row>
    <row r="23" spans="1:12" s="43" customFormat="1" ht="12.75" customHeight="1">
      <c r="A23" s="42" t="s">
        <v>30</v>
      </c>
      <c r="C23" s="43" t="s">
        <v>31</v>
      </c>
      <c r="D23" s="44">
        <v>815920</v>
      </c>
      <c r="E23" s="44">
        <v>1000000</v>
      </c>
      <c r="F23" s="44">
        <v>1000000</v>
      </c>
      <c r="G23" s="44">
        <v>1000000</v>
      </c>
      <c r="H23" s="46">
        <v>593205.2</v>
      </c>
      <c r="I23" s="45">
        <f t="shared" si="1"/>
        <v>72.70384351407</v>
      </c>
      <c r="J23" s="45">
        <f t="shared" si="2"/>
        <v>59.32052</v>
      </c>
      <c r="K23" s="45">
        <f t="shared" si="3"/>
        <v>59.32052</v>
      </c>
      <c r="L23" s="105">
        <f t="shared" si="0"/>
        <v>4.715276998298192E-05</v>
      </c>
    </row>
    <row r="24" spans="1:12" s="43" customFormat="1" ht="12.75" customHeight="1">
      <c r="A24" s="42" t="s">
        <v>32</v>
      </c>
      <c r="C24" s="43" t="s">
        <v>33</v>
      </c>
      <c r="D24" s="44">
        <v>176827501</v>
      </c>
      <c r="E24" s="44">
        <f>185000000+10000000</f>
        <v>195000000</v>
      </c>
      <c r="F24" s="44">
        <f>185000000+10000000</f>
        <v>195000000</v>
      </c>
      <c r="G24" s="44">
        <f>185000000+10000000</f>
        <v>195000000</v>
      </c>
      <c r="H24" s="46">
        <v>189995055.1</v>
      </c>
      <c r="I24" s="45">
        <f t="shared" si="1"/>
        <v>107.44655329376623</v>
      </c>
      <c r="J24" s="45">
        <f t="shared" si="2"/>
        <v>97.43336158974358</v>
      </c>
      <c r="K24" s="45">
        <f t="shared" si="3"/>
        <v>97.43336158974358</v>
      </c>
      <c r="L24" s="105">
        <f t="shared" si="0"/>
        <v>0.015102350975740395</v>
      </c>
    </row>
    <row r="25" spans="1:12" s="43" customFormat="1" ht="12.75" customHeight="1">
      <c r="A25" s="42" t="s">
        <v>34</v>
      </c>
      <c r="C25" s="43" t="s">
        <v>35</v>
      </c>
      <c r="D25" s="44">
        <v>9659315</v>
      </c>
      <c r="E25" s="44">
        <v>10000000</v>
      </c>
      <c r="F25" s="44">
        <v>10000000</v>
      </c>
      <c r="G25" s="44">
        <v>10000000</v>
      </c>
      <c r="H25" s="46">
        <v>11917400.55</v>
      </c>
      <c r="I25" s="45">
        <f t="shared" si="1"/>
        <v>123.37728451758743</v>
      </c>
      <c r="J25" s="45">
        <f t="shared" si="2"/>
        <v>119.1740055</v>
      </c>
      <c r="K25" s="45">
        <f t="shared" si="3"/>
        <v>119.1740055</v>
      </c>
      <c r="L25" s="105">
        <f t="shared" si="0"/>
        <v>0.0009472918425684945</v>
      </c>
    </row>
    <row r="26" spans="1:12" s="43" customFormat="1" ht="12.75" customHeight="1">
      <c r="A26" s="42" t="s">
        <v>36</v>
      </c>
      <c r="C26" s="43" t="s">
        <v>37</v>
      </c>
      <c r="D26" s="44">
        <v>1661329</v>
      </c>
      <c r="E26" s="44">
        <v>2100000</v>
      </c>
      <c r="F26" s="44">
        <v>2100000</v>
      </c>
      <c r="G26" s="44">
        <v>2100000</v>
      </c>
      <c r="H26" s="46">
        <v>2898037.68</v>
      </c>
      <c r="I26" s="45">
        <f t="shared" si="1"/>
        <v>174.44092530738945</v>
      </c>
      <c r="J26" s="45">
        <f t="shared" si="2"/>
        <v>138.00179428571428</v>
      </c>
      <c r="K26" s="45">
        <f t="shared" si="3"/>
        <v>138.00179428571428</v>
      </c>
      <c r="L26" s="105">
        <f t="shared" si="0"/>
        <v>0.0002303595857336628</v>
      </c>
    </row>
    <row r="27" spans="1:12" s="43" customFormat="1" ht="12.75" customHeight="1">
      <c r="A27" s="42" t="s">
        <v>38</v>
      </c>
      <c r="C27" s="43" t="s">
        <v>39</v>
      </c>
      <c r="D27" s="44">
        <v>4252217</v>
      </c>
      <c r="E27" s="44">
        <v>5300000</v>
      </c>
      <c r="F27" s="44">
        <v>5300000</v>
      </c>
      <c r="G27" s="44">
        <v>5300000</v>
      </c>
      <c r="H27" s="46">
        <v>5971774.07</v>
      </c>
      <c r="I27" s="45">
        <f t="shared" si="1"/>
        <v>140.43907143026803</v>
      </c>
      <c r="J27" s="45">
        <f t="shared" si="2"/>
        <v>112.67498245283019</v>
      </c>
      <c r="K27" s="45">
        <f t="shared" si="3"/>
        <v>112.67498245283019</v>
      </c>
      <c r="L27" s="105">
        <f t="shared" si="0"/>
        <v>0.00047468513275515087</v>
      </c>
    </row>
    <row r="28" spans="1:12" s="43" customFormat="1" ht="12.75" customHeight="1">
      <c r="A28" s="42" t="s">
        <v>40</v>
      </c>
      <c r="C28" s="43" t="s">
        <v>41</v>
      </c>
      <c r="D28" s="44">
        <v>71867202</v>
      </c>
      <c r="E28" s="44">
        <v>83000000</v>
      </c>
      <c r="F28" s="44">
        <v>83000000</v>
      </c>
      <c r="G28" s="44">
        <v>83000000</v>
      </c>
      <c r="H28" s="46">
        <v>65964526.5</v>
      </c>
      <c r="I28" s="45">
        <f t="shared" si="1"/>
        <v>91.78669081899139</v>
      </c>
      <c r="J28" s="45">
        <f t="shared" si="2"/>
        <v>79.47533313253012</v>
      </c>
      <c r="K28" s="45">
        <f t="shared" si="3"/>
        <v>79.47533313253012</v>
      </c>
      <c r="L28" s="105">
        <f t="shared" si="0"/>
        <v>0.005243396627492166</v>
      </c>
    </row>
    <row r="29" spans="1:12" s="43" customFormat="1" ht="12.75" customHeight="1">
      <c r="A29" s="42" t="s">
        <v>42</v>
      </c>
      <c r="C29" s="43" t="s">
        <v>43</v>
      </c>
      <c r="D29" s="44">
        <v>2033988</v>
      </c>
      <c r="E29" s="44">
        <v>3200000</v>
      </c>
      <c r="F29" s="44">
        <v>3200000</v>
      </c>
      <c r="G29" s="44">
        <v>3200000</v>
      </c>
      <c r="H29" s="46">
        <v>1314396.41</v>
      </c>
      <c r="I29" s="45">
        <f t="shared" si="1"/>
        <v>64.62164034399416</v>
      </c>
      <c r="J29" s="45">
        <f t="shared" si="2"/>
        <v>41.0748878125</v>
      </c>
      <c r="K29" s="45">
        <f t="shared" si="3"/>
        <v>41.0748878125</v>
      </c>
      <c r="L29" s="105">
        <f t="shared" si="0"/>
        <v>0.0001044789081201365</v>
      </c>
    </row>
    <row r="30" spans="1:12" s="43" customFormat="1" ht="12.75" customHeight="1">
      <c r="A30" s="42" t="s">
        <v>44</v>
      </c>
      <c r="C30" s="43" t="s">
        <v>45</v>
      </c>
      <c r="D30" s="44">
        <v>38861984</v>
      </c>
      <c r="E30" s="44">
        <v>46000000</v>
      </c>
      <c r="F30" s="44">
        <v>46000000</v>
      </c>
      <c r="G30" s="44">
        <v>46000000</v>
      </c>
      <c r="H30" s="46">
        <v>44063157.28</v>
      </c>
      <c r="I30" s="45">
        <f t="shared" si="1"/>
        <v>113.3837049595821</v>
      </c>
      <c r="J30" s="45">
        <f t="shared" si="2"/>
        <v>95.78947234782609</v>
      </c>
      <c r="K30" s="45">
        <f t="shared" si="3"/>
        <v>95.78947234782609</v>
      </c>
      <c r="L30" s="105">
        <f t="shared" si="0"/>
        <v>0.0035024978202277987</v>
      </c>
    </row>
    <row r="31" spans="1:12" s="43" customFormat="1" ht="12.75" customHeight="1">
      <c r="A31" s="42"/>
      <c r="C31" s="43" t="s">
        <v>46</v>
      </c>
      <c r="D31" s="44"/>
      <c r="E31" s="44"/>
      <c r="F31" s="44"/>
      <c r="G31" s="44"/>
      <c r="H31" s="46"/>
      <c r="I31" s="45"/>
      <c r="J31" s="45"/>
      <c r="K31" s="45"/>
      <c r="L31" s="105"/>
    </row>
    <row r="32" spans="1:12" s="43" customFormat="1" ht="12.75" customHeight="1">
      <c r="A32" s="42" t="s">
        <v>47</v>
      </c>
      <c r="C32" s="43" t="s">
        <v>48</v>
      </c>
      <c r="D32" s="44">
        <v>108548787</v>
      </c>
      <c r="E32" s="44">
        <v>120000000</v>
      </c>
      <c r="F32" s="44">
        <v>120000000</v>
      </c>
      <c r="G32" s="44">
        <v>120000000</v>
      </c>
      <c r="H32" s="46">
        <v>114404022.9</v>
      </c>
      <c r="I32" s="45">
        <f>H32/D32*100</f>
        <v>105.39410532519355</v>
      </c>
      <c r="J32" s="45">
        <f>H32/F32*100</f>
        <v>95.33668575</v>
      </c>
      <c r="K32" s="45">
        <f>+H32/$G32*100</f>
        <v>95.33668575</v>
      </c>
      <c r="L32" s="105">
        <f t="shared" si="0"/>
        <v>0.009093761445333751</v>
      </c>
    </row>
    <row r="33" spans="1:12" s="43" customFormat="1" ht="12.75" customHeight="1">
      <c r="A33" s="42" t="s">
        <v>49</v>
      </c>
      <c r="C33" s="43" t="s">
        <v>50</v>
      </c>
      <c r="D33" s="44">
        <v>1998846</v>
      </c>
      <c r="E33" s="44">
        <v>2200000</v>
      </c>
      <c r="F33" s="44">
        <v>2200000</v>
      </c>
      <c r="G33" s="44">
        <v>2200000</v>
      </c>
      <c r="H33" s="46">
        <v>2236490.89</v>
      </c>
      <c r="I33" s="45">
        <f>H33/D33*100</f>
        <v>111.88910451330418</v>
      </c>
      <c r="J33" s="45">
        <f>H33/F33*100</f>
        <v>101.65867681818182</v>
      </c>
      <c r="K33" s="45">
        <f>+H33/$G33*100</f>
        <v>101.65867681818182</v>
      </c>
      <c r="L33" s="105">
        <f t="shared" si="0"/>
        <v>0.00017777447079898244</v>
      </c>
    </row>
    <row r="34" spans="1:12" s="43" customFormat="1" ht="12.75" customHeight="1">
      <c r="A34" s="42"/>
      <c r="C34" s="43" t="s">
        <v>51</v>
      </c>
      <c r="D34" s="44"/>
      <c r="E34" s="44"/>
      <c r="F34" s="44"/>
      <c r="G34" s="44"/>
      <c r="H34" s="46"/>
      <c r="I34" s="45"/>
      <c r="J34" s="45"/>
      <c r="K34" s="45"/>
      <c r="L34" s="105"/>
    </row>
    <row r="35" spans="1:12" s="43" customFormat="1" ht="12.75" customHeight="1">
      <c r="A35" s="42" t="s">
        <v>52</v>
      </c>
      <c r="C35" s="43" t="s">
        <v>53</v>
      </c>
      <c r="D35" s="44">
        <v>24522127</v>
      </c>
      <c r="E35" s="44">
        <v>24500000</v>
      </c>
      <c r="F35" s="44">
        <v>24500000</v>
      </c>
      <c r="G35" s="44">
        <v>24500000</v>
      </c>
      <c r="H35" s="46">
        <v>29256831.53</v>
      </c>
      <c r="I35" s="45">
        <f>H35/D35*100</f>
        <v>119.3078868321659</v>
      </c>
      <c r="J35" s="45">
        <f>H35/F35*100</f>
        <v>119.41563889795918</v>
      </c>
      <c r="K35" s="45">
        <f>+H35/$G35*100</f>
        <v>119.41563889795918</v>
      </c>
      <c r="L35" s="105">
        <f t="shared" si="0"/>
        <v>0.002325570725888686</v>
      </c>
    </row>
    <row r="36" spans="1:12" ht="12.75" customHeight="1">
      <c r="A36" s="34"/>
      <c r="D36" s="16"/>
      <c r="E36" s="16"/>
      <c r="H36" s="32"/>
      <c r="I36" s="97"/>
      <c r="J36" s="97"/>
      <c r="K36" s="97"/>
      <c r="L36" s="103"/>
    </row>
    <row r="37" spans="1:12" s="37" customFormat="1" ht="12.75">
      <c r="A37" s="36">
        <v>703</v>
      </c>
      <c r="C37" s="37" t="s">
        <v>54</v>
      </c>
      <c r="D37" s="38">
        <f>D38+D45+D48+D51</f>
        <v>2022252566</v>
      </c>
      <c r="E37" s="38">
        <f>E38+E45+E48+E51</f>
        <v>2012600000</v>
      </c>
      <c r="F37" s="38">
        <f>F38+F45+F48+F51</f>
        <v>2032600000</v>
      </c>
      <c r="G37" s="38">
        <f>G38+G45+G48+G51</f>
        <v>2032600000</v>
      </c>
      <c r="H37" s="41">
        <f>H38+H45+H48+H51</f>
        <v>2031891000.5500002</v>
      </c>
      <c r="I37" s="40">
        <f>H37/D37*100</f>
        <v>100.47661873259803</v>
      </c>
      <c r="J37" s="40">
        <f>H37/F37*100</f>
        <v>99.96511859441111</v>
      </c>
      <c r="K37" s="40">
        <f aca="true" t="shared" si="4" ref="K37:K54">+H37/$G37*100</f>
        <v>99.96511859441111</v>
      </c>
      <c r="L37" s="104">
        <f t="shared" si="0"/>
        <v>0.16151120890279647</v>
      </c>
    </row>
    <row r="38" spans="1:12" s="37" customFormat="1" ht="12.75">
      <c r="A38" s="36">
        <v>7030</v>
      </c>
      <c r="C38" s="37" t="s">
        <v>55</v>
      </c>
      <c r="D38" s="38">
        <f>SUM(D39:D44)</f>
        <v>1459328752</v>
      </c>
      <c r="E38" s="38">
        <f>SUM(E39:E44)</f>
        <v>1402000000</v>
      </c>
      <c r="F38" s="38">
        <f>SUM(F39:F44)</f>
        <v>1421000000</v>
      </c>
      <c r="G38" s="38">
        <f>SUM(G39:G44)</f>
        <v>1421000000</v>
      </c>
      <c r="H38" s="41">
        <f>SUM(H39:H44)</f>
        <v>1397541361.8000002</v>
      </c>
      <c r="I38" s="40">
        <f>H38/D38*100</f>
        <v>95.76604037196412</v>
      </c>
      <c r="J38" s="40">
        <f>H38/F38*100</f>
        <v>98.34914579873329</v>
      </c>
      <c r="K38" s="40">
        <f t="shared" si="4"/>
        <v>98.34914579873329</v>
      </c>
      <c r="L38" s="104">
        <f t="shared" si="0"/>
        <v>0.1110879445673415</v>
      </c>
    </row>
    <row r="39" spans="1:12" s="43" customFormat="1" ht="12.75" customHeight="1">
      <c r="A39" s="42" t="s">
        <v>56</v>
      </c>
      <c r="C39" s="43" t="s">
        <v>57</v>
      </c>
      <c r="D39" s="44">
        <v>9660100</v>
      </c>
      <c r="E39" s="44">
        <v>7000000</v>
      </c>
      <c r="F39" s="44">
        <v>7000000</v>
      </c>
      <c r="G39" s="44">
        <v>7000000</v>
      </c>
      <c r="H39" s="46">
        <v>14478795.57</v>
      </c>
      <c r="I39" s="45">
        <f>H39/D39*100</f>
        <v>149.88246053353484</v>
      </c>
      <c r="J39" s="45">
        <f>H39/F39*100</f>
        <v>206.83993671428573</v>
      </c>
      <c r="K39" s="45">
        <f t="shared" si="4"/>
        <v>206.83993671428573</v>
      </c>
      <c r="L39" s="105">
        <f t="shared" si="0"/>
        <v>0.0011508923339559863</v>
      </c>
    </row>
    <row r="40" spans="1:12" s="43" customFormat="1" ht="12.75" customHeight="1">
      <c r="A40" s="42" t="s">
        <v>58</v>
      </c>
      <c r="C40" s="43" t="s">
        <v>59</v>
      </c>
      <c r="D40" s="44">
        <v>1973290</v>
      </c>
      <c r="E40" s="44">
        <v>2000000</v>
      </c>
      <c r="F40" s="44">
        <v>2000000</v>
      </c>
      <c r="G40" s="44">
        <v>2000000</v>
      </c>
      <c r="H40" s="46">
        <v>1503260.4</v>
      </c>
      <c r="I40" s="45">
        <f>H40/D40*100</f>
        <v>76.18040936709758</v>
      </c>
      <c r="J40" s="45">
        <f>H40/F40*100</f>
        <v>75.16301999999999</v>
      </c>
      <c r="K40" s="45">
        <f t="shared" si="4"/>
        <v>75.16301999999999</v>
      </c>
      <c r="L40" s="105">
        <f t="shared" si="0"/>
        <v>0.00011949135285011897</v>
      </c>
    </row>
    <row r="41" spans="1:12" s="43" customFormat="1" ht="12.75" customHeight="1">
      <c r="A41" s="42" t="s">
        <v>60</v>
      </c>
      <c r="C41" s="43" t="s">
        <v>61</v>
      </c>
      <c r="D41" s="44"/>
      <c r="E41" s="44">
        <v>1000000</v>
      </c>
      <c r="F41" s="44"/>
      <c r="G41" s="44"/>
      <c r="H41" s="46"/>
      <c r="I41" s="45"/>
      <c r="J41" s="45"/>
      <c r="K41" s="45"/>
      <c r="L41" s="105">
        <f t="shared" si="0"/>
        <v>0</v>
      </c>
    </row>
    <row r="42" spans="1:12" s="43" customFormat="1" ht="12.75" customHeight="1">
      <c r="A42" s="42" t="s">
        <v>62</v>
      </c>
      <c r="C42" s="43" t="s">
        <v>63</v>
      </c>
      <c r="D42" s="44">
        <v>1127309098</v>
      </c>
      <c r="E42" s="44">
        <v>1100000000</v>
      </c>
      <c r="F42" s="44">
        <v>1067000000</v>
      </c>
      <c r="G42" s="44">
        <v>1067000000</v>
      </c>
      <c r="H42" s="46">
        <v>1043262594.56</v>
      </c>
      <c r="I42" s="45">
        <f aca="true" t="shared" si="5" ref="I42:I54">H42/D42*100</f>
        <v>92.54450233843495</v>
      </c>
      <c r="J42" s="45">
        <f aca="true" t="shared" si="6" ref="J42:J54">H42/F42*100</f>
        <v>97.77531345454545</v>
      </c>
      <c r="K42" s="45">
        <f t="shared" si="4"/>
        <v>97.77531345454545</v>
      </c>
      <c r="L42" s="105">
        <f t="shared" si="0"/>
        <v>0.08292698909776348</v>
      </c>
    </row>
    <row r="43" spans="1:12" s="43" customFormat="1" ht="12.75" customHeight="1">
      <c r="A43" s="42" t="s">
        <v>64</v>
      </c>
      <c r="C43" s="43" t="s">
        <v>65</v>
      </c>
      <c r="D43" s="44">
        <v>291471573</v>
      </c>
      <c r="E43" s="44">
        <v>265000000</v>
      </c>
      <c r="F43" s="44">
        <v>315000000</v>
      </c>
      <c r="G43" s="44">
        <v>315000000</v>
      </c>
      <c r="H43" s="46">
        <v>297816155.14</v>
      </c>
      <c r="I43" s="45">
        <f t="shared" si="5"/>
        <v>102.17674131123586</v>
      </c>
      <c r="J43" s="45">
        <f t="shared" si="6"/>
        <v>94.54481115555555</v>
      </c>
      <c r="K43" s="45">
        <f t="shared" si="4"/>
        <v>94.54481115555555</v>
      </c>
      <c r="L43" s="105">
        <f t="shared" si="0"/>
        <v>0.02367284821598408</v>
      </c>
    </row>
    <row r="44" spans="1:12" s="43" customFormat="1" ht="12.75" customHeight="1">
      <c r="A44" s="42" t="s">
        <v>66</v>
      </c>
      <c r="C44" s="43" t="s">
        <v>67</v>
      </c>
      <c r="D44" s="44">
        <v>28914691</v>
      </c>
      <c r="E44" s="44">
        <v>27000000</v>
      </c>
      <c r="F44" s="44">
        <v>30000000</v>
      </c>
      <c r="G44" s="44">
        <v>30000000</v>
      </c>
      <c r="H44" s="46">
        <v>40480556.13</v>
      </c>
      <c r="I44" s="45">
        <f t="shared" si="5"/>
        <v>139.9999610232736</v>
      </c>
      <c r="J44" s="45">
        <f t="shared" si="6"/>
        <v>134.9351871</v>
      </c>
      <c r="K44" s="45">
        <f t="shared" si="4"/>
        <v>134.9351871</v>
      </c>
      <c r="L44" s="105">
        <f t="shared" si="0"/>
        <v>0.0032177235667878146</v>
      </c>
    </row>
    <row r="45" spans="1:12" s="37" customFormat="1" ht="12.75">
      <c r="A45" s="36">
        <v>7031</v>
      </c>
      <c r="C45" s="37" t="s">
        <v>68</v>
      </c>
      <c r="D45" s="38">
        <f>SUM(D46:D47)</f>
        <v>196518</v>
      </c>
      <c r="E45" s="38">
        <f>SUM(E46:E47)</f>
        <v>600000</v>
      </c>
      <c r="F45" s="38">
        <f>SUM(F46:F47)</f>
        <v>600000</v>
      </c>
      <c r="G45" s="38">
        <f>SUM(G46:G47)</f>
        <v>600000</v>
      </c>
      <c r="H45" s="41">
        <f>SUM(H46:H47)</f>
        <v>67040.2</v>
      </c>
      <c r="I45" s="40">
        <f t="shared" si="5"/>
        <v>34.11402517835516</v>
      </c>
      <c r="J45" s="40">
        <f t="shared" si="6"/>
        <v>11.173366666666666</v>
      </c>
      <c r="K45" s="40">
        <f t="shared" si="4"/>
        <v>11.173366666666666</v>
      </c>
      <c r="L45" s="104">
        <f t="shared" si="0"/>
        <v>5.328899898741793E-06</v>
      </c>
    </row>
    <row r="46" spans="1:12" s="43" customFormat="1" ht="12.75" customHeight="1">
      <c r="A46" s="42" t="s">
        <v>69</v>
      </c>
      <c r="C46" s="43" t="s">
        <v>70</v>
      </c>
      <c r="D46" s="44">
        <v>196518</v>
      </c>
      <c r="E46" s="44">
        <v>600000</v>
      </c>
      <c r="F46" s="44">
        <v>600000</v>
      </c>
      <c r="G46" s="44">
        <v>600000</v>
      </c>
      <c r="H46" s="46">
        <v>67040.2</v>
      </c>
      <c r="I46" s="45">
        <f t="shared" si="5"/>
        <v>34.11402517835516</v>
      </c>
      <c r="J46" s="45">
        <f t="shared" si="6"/>
        <v>11.173366666666666</v>
      </c>
      <c r="K46" s="45">
        <f t="shared" si="4"/>
        <v>11.173366666666666</v>
      </c>
      <c r="L46" s="105">
        <f t="shared" si="0"/>
        <v>5.328899898741793E-06</v>
      </c>
    </row>
    <row r="47" spans="1:12" s="43" customFormat="1" ht="12.75" customHeight="1" hidden="1">
      <c r="A47" s="42" t="s">
        <v>71</v>
      </c>
      <c r="C47" s="43" t="s">
        <v>72</v>
      </c>
      <c r="D47" s="44"/>
      <c r="E47" s="44"/>
      <c r="F47" s="44"/>
      <c r="G47" s="44"/>
      <c r="H47" s="46"/>
      <c r="I47" s="45" t="e">
        <f t="shared" si="5"/>
        <v>#DIV/0!</v>
      </c>
      <c r="J47" s="45" t="e">
        <f t="shared" si="6"/>
        <v>#DIV/0!</v>
      </c>
      <c r="K47" s="45" t="e">
        <f t="shared" si="4"/>
        <v>#DIV/0!</v>
      </c>
      <c r="L47" s="105">
        <f t="shared" si="0"/>
        <v>0</v>
      </c>
    </row>
    <row r="48" spans="1:12" s="37" customFormat="1" ht="12.75">
      <c r="A48" s="36">
        <v>7032</v>
      </c>
      <c r="C48" s="37" t="s">
        <v>73</v>
      </c>
      <c r="D48" s="38">
        <f>SUM(D49:D50)</f>
        <v>18025517</v>
      </c>
      <c r="E48" s="38">
        <f>SUM(E49:E50)</f>
        <v>15000000</v>
      </c>
      <c r="F48" s="38">
        <f>SUM(F49:F50)</f>
        <v>16000000</v>
      </c>
      <c r="G48" s="38">
        <f>SUM(G49:G50)</f>
        <v>16000000</v>
      </c>
      <c r="H48" s="41">
        <f>SUM(H49:H50)</f>
        <v>17310924.95</v>
      </c>
      <c r="I48" s="40">
        <f t="shared" si="5"/>
        <v>96.0356640533528</v>
      </c>
      <c r="J48" s="40">
        <f t="shared" si="6"/>
        <v>108.1932809375</v>
      </c>
      <c r="K48" s="40">
        <f t="shared" si="4"/>
        <v>108.1932809375</v>
      </c>
      <c r="L48" s="104">
        <f t="shared" si="0"/>
        <v>0.001376012992401302</v>
      </c>
    </row>
    <row r="49" spans="1:12" s="43" customFormat="1" ht="12.75" customHeight="1">
      <c r="A49" s="42" t="s">
        <v>74</v>
      </c>
      <c r="C49" s="43" t="s">
        <v>75</v>
      </c>
      <c r="D49" s="44">
        <v>17308492</v>
      </c>
      <c r="E49" s="44">
        <v>15000000</v>
      </c>
      <c r="F49" s="44">
        <v>15000000</v>
      </c>
      <c r="G49" s="44">
        <v>15000000</v>
      </c>
      <c r="H49" s="46">
        <v>16289026.37</v>
      </c>
      <c r="I49" s="45">
        <f t="shared" si="5"/>
        <v>94.11002628074127</v>
      </c>
      <c r="J49" s="45">
        <f t="shared" si="6"/>
        <v>108.59350913333333</v>
      </c>
      <c r="K49" s="45">
        <f t="shared" si="4"/>
        <v>108.59350913333333</v>
      </c>
      <c r="L49" s="105">
        <f t="shared" si="0"/>
        <v>0.001294784188795609</v>
      </c>
    </row>
    <row r="50" spans="1:12" s="43" customFormat="1" ht="12.75" customHeight="1">
      <c r="A50" s="42" t="s">
        <v>76</v>
      </c>
      <c r="C50" s="43" t="s">
        <v>77</v>
      </c>
      <c r="D50" s="44">
        <v>717025</v>
      </c>
      <c r="E50" s="44"/>
      <c r="F50" s="44">
        <v>1000000</v>
      </c>
      <c r="G50" s="44">
        <v>1000000</v>
      </c>
      <c r="H50" s="46">
        <v>1021898.58</v>
      </c>
      <c r="I50" s="45">
        <f t="shared" si="5"/>
        <v>142.51923991492626</v>
      </c>
      <c r="J50" s="45">
        <f t="shared" si="6"/>
        <v>102.189858</v>
      </c>
      <c r="K50" s="45">
        <f t="shared" si="4"/>
        <v>102.189858</v>
      </c>
      <c r="L50" s="105">
        <f t="shared" si="0"/>
        <v>8.122880360569302E-05</v>
      </c>
    </row>
    <row r="51" spans="1:12" s="37" customFormat="1" ht="12.75">
      <c r="A51" s="36">
        <v>7033</v>
      </c>
      <c r="C51" s="37" t="s">
        <v>78</v>
      </c>
      <c r="D51" s="38">
        <f>SUM(D52:D56)</f>
        <v>544701779</v>
      </c>
      <c r="E51" s="38">
        <f>SUM(E52:E56)</f>
        <v>595000000</v>
      </c>
      <c r="F51" s="38">
        <f>SUM(F52:F56)</f>
        <v>595000000</v>
      </c>
      <c r="G51" s="38">
        <f>SUM(G52:G56)</f>
        <v>595000000</v>
      </c>
      <c r="H51" s="41">
        <f>SUM(H52:H56)</f>
        <v>616971673.6</v>
      </c>
      <c r="I51" s="40">
        <f t="shared" si="5"/>
        <v>113.26779118156689</v>
      </c>
      <c r="J51" s="40">
        <f t="shared" si="6"/>
        <v>103.69271825210085</v>
      </c>
      <c r="K51" s="40">
        <f t="shared" si="4"/>
        <v>103.69271825210085</v>
      </c>
      <c r="L51" s="104">
        <f t="shared" si="0"/>
        <v>0.04904192244315492</v>
      </c>
    </row>
    <row r="52" spans="1:12" s="43" customFormat="1" ht="12.75" customHeight="1">
      <c r="A52" s="42" t="s">
        <v>79</v>
      </c>
      <c r="C52" s="43" t="s">
        <v>80</v>
      </c>
      <c r="D52" s="44">
        <v>331921944</v>
      </c>
      <c r="E52" s="44">
        <v>340000000</v>
      </c>
      <c r="F52" s="44">
        <v>340000000</v>
      </c>
      <c r="G52" s="44">
        <v>340000000</v>
      </c>
      <c r="H52" s="46">
        <v>372704294.53</v>
      </c>
      <c r="I52" s="45">
        <f t="shared" si="5"/>
        <v>112.28672923475042</v>
      </c>
      <c r="J52" s="45">
        <f t="shared" si="6"/>
        <v>109.61891015588235</v>
      </c>
      <c r="K52" s="45">
        <f t="shared" si="4"/>
        <v>109.61891015588235</v>
      </c>
      <c r="L52" s="105">
        <f t="shared" si="0"/>
        <v>0.02962556611378767</v>
      </c>
    </row>
    <row r="53" spans="1:12" s="43" customFormat="1" ht="12.75" customHeight="1">
      <c r="A53" s="42" t="s">
        <v>81</v>
      </c>
      <c r="C53" s="43" t="s">
        <v>82</v>
      </c>
      <c r="D53" s="44">
        <v>194226585</v>
      </c>
      <c r="E53" s="44">
        <v>220000000</v>
      </c>
      <c r="F53" s="44">
        <v>220000000</v>
      </c>
      <c r="G53" s="44">
        <v>220000000</v>
      </c>
      <c r="H53" s="46">
        <v>209275642.18</v>
      </c>
      <c r="I53" s="45">
        <f t="shared" si="5"/>
        <v>107.74819635530326</v>
      </c>
      <c r="J53" s="45">
        <f t="shared" si="6"/>
        <v>95.12529190000001</v>
      </c>
      <c r="K53" s="45">
        <f t="shared" si="4"/>
        <v>95.12529190000001</v>
      </c>
      <c r="L53" s="105">
        <f t="shared" si="0"/>
        <v>0.01663492872070975</v>
      </c>
    </row>
    <row r="54" spans="1:12" s="43" customFormat="1" ht="12.75" customHeight="1">
      <c r="A54" s="42" t="s">
        <v>83</v>
      </c>
      <c r="C54" s="43" t="s">
        <v>84</v>
      </c>
      <c r="D54" s="44">
        <v>7878647</v>
      </c>
      <c r="E54" s="44">
        <v>13000000</v>
      </c>
      <c r="F54" s="44">
        <v>13000000</v>
      </c>
      <c r="G54" s="44">
        <v>13000000</v>
      </c>
      <c r="H54" s="46">
        <v>8922769.71</v>
      </c>
      <c r="I54" s="45">
        <f t="shared" si="5"/>
        <v>113.25256366987885</v>
      </c>
      <c r="J54" s="45">
        <f t="shared" si="6"/>
        <v>68.63669007692307</v>
      </c>
      <c r="K54" s="45">
        <f t="shared" si="4"/>
        <v>68.63669007692307</v>
      </c>
      <c r="L54" s="105">
        <f t="shared" si="0"/>
        <v>0.0007092542475129152</v>
      </c>
    </row>
    <row r="55" spans="1:12" s="43" customFormat="1" ht="12.75" customHeight="1">
      <c r="A55" s="42"/>
      <c r="C55" s="43" t="s">
        <v>85</v>
      </c>
      <c r="D55" s="44"/>
      <c r="E55" s="44"/>
      <c r="F55" s="44"/>
      <c r="G55" s="44"/>
      <c r="H55" s="46"/>
      <c r="I55" s="45"/>
      <c r="J55" s="45"/>
      <c r="K55" s="45"/>
      <c r="L55" s="105"/>
    </row>
    <row r="56" spans="1:12" s="43" customFormat="1" ht="12.75" customHeight="1">
      <c r="A56" s="42" t="s">
        <v>86</v>
      </c>
      <c r="C56" s="43" t="s">
        <v>87</v>
      </c>
      <c r="D56" s="44">
        <v>10674603</v>
      </c>
      <c r="E56" s="44">
        <v>22000000</v>
      </c>
      <c r="F56" s="44">
        <v>22000000</v>
      </c>
      <c r="G56" s="44">
        <v>22000000</v>
      </c>
      <c r="H56" s="46">
        <v>26068967.18</v>
      </c>
      <c r="I56" s="45">
        <f>H56/D56*100</f>
        <v>244.21486382210188</v>
      </c>
      <c r="J56" s="45">
        <f>H56/F56*100</f>
        <v>118.49530536363638</v>
      </c>
      <c r="K56" s="45">
        <f>+H56/$G56*100</f>
        <v>118.49530536363638</v>
      </c>
      <c r="L56" s="105">
        <f t="shared" si="0"/>
        <v>0.0020721733611445835</v>
      </c>
    </row>
    <row r="57" spans="1:12" ht="12.75" customHeight="1">
      <c r="A57" s="34"/>
      <c r="D57" s="16"/>
      <c r="E57" s="16"/>
      <c r="H57" s="32"/>
      <c r="I57" s="31"/>
      <c r="J57" s="31"/>
      <c r="K57" s="31"/>
      <c r="L57" s="103"/>
    </row>
    <row r="58" spans="1:12" s="37" customFormat="1" ht="12.75">
      <c r="A58" s="36">
        <v>704</v>
      </c>
      <c r="C58" s="37" t="s">
        <v>88</v>
      </c>
      <c r="D58" s="38">
        <f>D59+D63+D65</f>
        <v>608628224.3399999</v>
      </c>
      <c r="E58" s="38">
        <f>E59+E63+E65</f>
        <v>727600000</v>
      </c>
      <c r="F58" s="38">
        <f>F59+F63+F65</f>
        <v>1166476300</v>
      </c>
      <c r="G58" s="38">
        <f>G59+G63+G65</f>
        <v>1262958178</v>
      </c>
      <c r="H58" s="41">
        <f>H59+H63+H65</f>
        <v>749919828.82</v>
      </c>
      <c r="I58" s="40">
        <f aca="true" t="shared" si="7" ref="I58:I84">H58/D58*100</f>
        <v>123.21476376374389</v>
      </c>
      <c r="J58" s="40">
        <f aca="true" t="shared" si="8" ref="J58:J80">H58/F58*100</f>
        <v>64.28933265253653</v>
      </c>
      <c r="K58" s="40">
        <f aca="true" t="shared" si="9" ref="K58:K80">+H58/$G58*100</f>
        <v>59.37804132260032</v>
      </c>
      <c r="L58" s="104">
        <f t="shared" si="0"/>
        <v>0.059609722224327505</v>
      </c>
    </row>
    <row r="59" spans="1:12" s="37" customFormat="1" ht="12.75">
      <c r="A59" s="36">
        <v>7044</v>
      </c>
      <c r="C59" s="37" t="s">
        <v>89</v>
      </c>
      <c r="D59" s="38">
        <f>SUM(D60:D62)</f>
        <v>98367246</v>
      </c>
      <c r="E59" s="38">
        <f>SUM(E60:E62)</f>
        <v>97000000</v>
      </c>
      <c r="F59" s="38">
        <f>SUM(F60:F62)</f>
        <v>97000000</v>
      </c>
      <c r="G59" s="38">
        <f>SUM(G60:G62)</f>
        <v>97000000</v>
      </c>
      <c r="H59" s="41">
        <f>SUM(H60:H62)</f>
        <v>94590101.37</v>
      </c>
      <c r="I59" s="40">
        <f t="shared" si="7"/>
        <v>96.16016023260427</v>
      </c>
      <c r="J59" s="40">
        <f t="shared" si="8"/>
        <v>97.51556842268042</v>
      </c>
      <c r="K59" s="40">
        <f t="shared" si="9"/>
        <v>97.51556842268042</v>
      </c>
      <c r="L59" s="104">
        <f t="shared" si="0"/>
        <v>0.007518789944131564</v>
      </c>
    </row>
    <row r="60" spans="1:12" s="43" customFormat="1" ht="12.75" customHeight="1">
      <c r="A60" s="42" t="s">
        <v>90</v>
      </c>
      <c r="C60" s="43" t="s">
        <v>91</v>
      </c>
      <c r="D60" s="44">
        <v>32505867</v>
      </c>
      <c r="E60" s="44">
        <v>27000000</v>
      </c>
      <c r="F60" s="44">
        <v>27000000</v>
      </c>
      <c r="G60" s="44">
        <v>27000000</v>
      </c>
      <c r="H60" s="46">
        <v>22848026.6</v>
      </c>
      <c r="I60" s="45">
        <f t="shared" si="7"/>
        <v>70.28893153349824</v>
      </c>
      <c r="J60" s="45">
        <f t="shared" si="8"/>
        <v>84.62232074074075</v>
      </c>
      <c r="K60" s="45">
        <f t="shared" si="9"/>
        <v>84.62232074074075</v>
      </c>
      <c r="L60" s="105">
        <f t="shared" si="0"/>
        <v>0.0018161468288458236</v>
      </c>
    </row>
    <row r="61" spans="1:12" s="43" customFormat="1" ht="12.75" customHeight="1">
      <c r="A61" s="42" t="s">
        <v>92</v>
      </c>
      <c r="C61" s="43" t="s">
        <v>93</v>
      </c>
      <c r="D61" s="44">
        <v>65861379</v>
      </c>
      <c r="E61" s="44">
        <v>70000000</v>
      </c>
      <c r="F61" s="44">
        <v>70000000</v>
      </c>
      <c r="G61" s="44">
        <v>70000000</v>
      </c>
      <c r="H61" s="46">
        <v>71742074.77</v>
      </c>
      <c r="I61" s="45">
        <f t="shared" si="7"/>
        <v>108.92889863420562</v>
      </c>
      <c r="J61" s="45">
        <f t="shared" si="8"/>
        <v>102.48867824285715</v>
      </c>
      <c r="K61" s="45">
        <f t="shared" si="9"/>
        <v>102.48867824285715</v>
      </c>
      <c r="L61" s="105">
        <f t="shared" si="0"/>
        <v>0.0057026431152857405</v>
      </c>
    </row>
    <row r="62" spans="1:12" s="43" customFormat="1" ht="12.75" customHeight="1" hidden="1">
      <c r="A62" s="42" t="s">
        <v>94</v>
      </c>
      <c r="C62" s="43" t="s">
        <v>95</v>
      </c>
      <c r="D62" s="44"/>
      <c r="E62" s="44"/>
      <c r="F62" s="44"/>
      <c r="G62" s="44"/>
      <c r="H62" s="46"/>
      <c r="I62" s="45" t="e">
        <f t="shared" si="7"/>
        <v>#DIV/0!</v>
      </c>
      <c r="J62" s="45" t="e">
        <f t="shared" si="8"/>
        <v>#DIV/0!</v>
      </c>
      <c r="K62" s="45" t="e">
        <f t="shared" si="9"/>
        <v>#DIV/0!</v>
      </c>
      <c r="L62" s="105">
        <f t="shared" si="0"/>
        <v>0</v>
      </c>
    </row>
    <row r="63" spans="1:12" s="37" customFormat="1" ht="12.75">
      <c r="A63" s="36">
        <v>7046</v>
      </c>
      <c r="C63" s="37" t="s">
        <v>96</v>
      </c>
      <c r="D63" s="38">
        <f>D64</f>
        <v>237363</v>
      </c>
      <c r="E63" s="38">
        <f>E64</f>
        <v>1600000</v>
      </c>
      <c r="F63" s="38">
        <f>F64</f>
        <v>1600000</v>
      </c>
      <c r="G63" s="38">
        <f>G64</f>
        <v>1600000</v>
      </c>
      <c r="H63" s="41">
        <f>H64</f>
        <v>21641.59</v>
      </c>
      <c r="I63" s="40">
        <f t="shared" si="7"/>
        <v>9.117507783437183</v>
      </c>
      <c r="J63" s="40">
        <f t="shared" si="8"/>
        <v>1.352599375</v>
      </c>
      <c r="K63" s="40">
        <f t="shared" si="9"/>
        <v>1.352599375</v>
      </c>
      <c r="L63" s="104">
        <f t="shared" si="0"/>
        <v>1.7202494437607791E-06</v>
      </c>
    </row>
    <row r="64" spans="1:12" s="43" customFormat="1" ht="12.75" customHeight="1">
      <c r="A64" s="42" t="s">
        <v>97</v>
      </c>
      <c r="C64" s="43" t="s">
        <v>98</v>
      </c>
      <c r="D64" s="44">
        <v>237363</v>
      </c>
      <c r="E64" s="44">
        <f>500000+1100000</f>
        <v>1600000</v>
      </c>
      <c r="F64" s="44">
        <f>500000+1100000</f>
        <v>1600000</v>
      </c>
      <c r="G64" s="44">
        <f>500000+1100000</f>
        <v>1600000</v>
      </c>
      <c r="H64" s="46">
        <v>21641.59</v>
      </c>
      <c r="I64" s="45">
        <f t="shared" si="7"/>
        <v>9.117507783437183</v>
      </c>
      <c r="J64" s="45">
        <f t="shared" si="8"/>
        <v>1.352599375</v>
      </c>
      <c r="K64" s="45">
        <f t="shared" si="9"/>
        <v>1.352599375</v>
      </c>
      <c r="L64" s="105">
        <f t="shared" si="0"/>
        <v>1.7202494437607791E-06</v>
      </c>
    </row>
    <row r="65" spans="1:12" s="37" customFormat="1" ht="12.75">
      <c r="A65" s="36">
        <v>7047</v>
      </c>
      <c r="C65" s="37" t="s">
        <v>99</v>
      </c>
      <c r="D65" s="38">
        <f>SUM(D66:D76)+D81</f>
        <v>510023615.34</v>
      </c>
      <c r="E65" s="38">
        <f>SUM(E66:E76)</f>
        <v>629000000</v>
      </c>
      <c r="F65" s="38">
        <f>SUM(F66:F76)</f>
        <v>1067876300</v>
      </c>
      <c r="G65" s="38">
        <f>SUM(G66:G76)</f>
        <v>1164358178</v>
      </c>
      <c r="H65" s="41">
        <f>SUM(H66:H76)+H81</f>
        <v>655308085.86</v>
      </c>
      <c r="I65" s="40">
        <f t="shared" si="7"/>
        <v>128.48583205762898</v>
      </c>
      <c r="J65" s="40">
        <f t="shared" si="8"/>
        <v>61.36554260638615</v>
      </c>
      <c r="K65" s="40">
        <f t="shared" si="9"/>
        <v>56.2806272366818</v>
      </c>
      <c r="L65" s="104">
        <f t="shared" si="0"/>
        <v>0.052089212030752174</v>
      </c>
    </row>
    <row r="66" spans="1:12" s="43" customFormat="1" ht="12.75" customHeight="1">
      <c r="A66" s="42" t="s">
        <v>100</v>
      </c>
      <c r="C66" s="43" t="s">
        <v>101</v>
      </c>
      <c r="D66" s="44">
        <f>250872259+27739270.27</f>
        <v>278611529.27</v>
      </c>
      <c r="E66" s="44">
        <f>940000000-500000000</f>
        <v>440000000</v>
      </c>
      <c r="F66" s="44">
        <f>710000000</f>
        <v>710000000</v>
      </c>
      <c r="G66" s="44">
        <f>710000000+96481878</f>
        <v>806481878</v>
      </c>
      <c r="H66" s="46">
        <v>325987497.22</v>
      </c>
      <c r="I66" s="45">
        <f t="shared" si="7"/>
        <v>117.00430993438482</v>
      </c>
      <c r="J66" s="45">
        <f t="shared" si="8"/>
        <v>45.91373200281691</v>
      </c>
      <c r="K66" s="45">
        <f t="shared" si="9"/>
        <v>40.42093270941422</v>
      </c>
      <c r="L66" s="105">
        <f t="shared" si="0"/>
        <v>0.025912135419147744</v>
      </c>
    </row>
    <row r="67" spans="1:12" s="43" customFormat="1" ht="12.75" customHeight="1">
      <c r="A67" s="42" t="s">
        <v>102</v>
      </c>
      <c r="C67" s="43" t="s">
        <v>103</v>
      </c>
      <c r="D67" s="44">
        <v>11799718</v>
      </c>
      <c r="E67" s="44">
        <v>16000000</v>
      </c>
      <c r="F67" s="44">
        <v>16000000</v>
      </c>
      <c r="G67" s="44">
        <v>16000000</v>
      </c>
      <c r="H67" s="46">
        <v>13416694.27</v>
      </c>
      <c r="I67" s="45">
        <f t="shared" si="7"/>
        <v>113.70351621962492</v>
      </c>
      <c r="J67" s="45">
        <f t="shared" si="8"/>
        <v>83.85433918749999</v>
      </c>
      <c r="K67" s="45">
        <f t="shared" si="9"/>
        <v>83.85433918749999</v>
      </c>
      <c r="L67" s="105">
        <f t="shared" si="0"/>
        <v>0.0010664678914569555</v>
      </c>
    </row>
    <row r="68" spans="1:12" s="43" customFormat="1" ht="12.75" customHeight="1" hidden="1">
      <c r="A68" s="42" t="s">
        <v>104</v>
      </c>
      <c r="C68" s="43" t="s">
        <v>105</v>
      </c>
      <c r="D68" s="44"/>
      <c r="E68" s="44"/>
      <c r="F68" s="44"/>
      <c r="G68" s="44"/>
      <c r="H68" s="46"/>
      <c r="I68" s="45" t="e">
        <f t="shared" si="7"/>
        <v>#DIV/0!</v>
      </c>
      <c r="J68" s="45" t="e">
        <f t="shared" si="8"/>
        <v>#DIV/0!</v>
      </c>
      <c r="K68" s="45" t="e">
        <f t="shared" si="9"/>
        <v>#DIV/0!</v>
      </c>
      <c r="L68" s="105">
        <f t="shared" si="0"/>
        <v>0</v>
      </c>
    </row>
    <row r="69" spans="1:12" s="43" customFormat="1" ht="12.75" customHeight="1" hidden="1">
      <c r="A69" s="42" t="s">
        <v>106</v>
      </c>
      <c r="C69" s="43" t="s">
        <v>107</v>
      </c>
      <c r="D69" s="44"/>
      <c r="E69" s="44"/>
      <c r="F69" s="44"/>
      <c r="G69" s="44"/>
      <c r="H69" s="46"/>
      <c r="I69" s="45" t="e">
        <f t="shared" si="7"/>
        <v>#DIV/0!</v>
      </c>
      <c r="J69" s="45" t="e">
        <f t="shared" si="8"/>
        <v>#DIV/0!</v>
      </c>
      <c r="K69" s="45" t="e">
        <f t="shared" si="9"/>
        <v>#DIV/0!</v>
      </c>
      <c r="L69" s="105">
        <f t="shared" si="0"/>
        <v>0</v>
      </c>
    </row>
    <row r="70" spans="1:12" s="43" customFormat="1" ht="12.75" customHeight="1">
      <c r="A70" s="42" t="s">
        <v>108</v>
      </c>
      <c r="C70" s="43" t="s">
        <v>109</v>
      </c>
      <c r="D70" s="44">
        <v>2618160</v>
      </c>
      <c r="E70" s="44">
        <v>3000000</v>
      </c>
      <c r="F70" s="44">
        <v>3000000</v>
      </c>
      <c r="G70" s="44">
        <v>3000000</v>
      </c>
      <c r="H70" s="46">
        <v>2338853.59</v>
      </c>
      <c r="I70" s="45">
        <f t="shared" si="7"/>
        <v>89.33195793992728</v>
      </c>
      <c r="J70" s="45">
        <f t="shared" si="8"/>
        <v>77.96178633333332</v>
      </c>
      <c r="K70" s="45">
        <f t="shared" si="9"/>
        <v>77.96178633333332</v>
      </c>
      <c r="L70" s="105">
        <f t="shared" si="0"/>
        <v>0.00018591109004631367</v>
      </c>
    </row>
    <row r="71" spans="1:12" s="43" customFormat="1" ht="12.75" customHeight="1" hidden="1">
      <c r="A71" s="42" t="s">
        <v>110</v>
      </c>
      <c r="C71" s="43" t="s">
        <v>111</v>
      </c>
      <c r="D71" s="44"/>
      <c r="E71" s="44"/>
      <c r="F71" s="44"/>
      <c r="G71" s="44"/>
      <c r="H71" s="46"/>
      <c r="I71" s="45" t="e">
        <f t="shared" si="7"/>
        <v>#DIV/0!</v>
      </c>
      <c r="J71" s="45" t="e">
        <f t="shared" si="8"/>
        <v>#DIV/0!</v>
      </c>
      <c r="K71" s="45" t="e">
        <f t="shared" si="9"/>
        <v>#DIV/0!</v>
      </c>
      <c r="L71" s="105">
        <f t="shared" si="0"/>
        <v>0</v>
      </c>
    </row>
    <row r="72" spans="1:12" s="43" customFormat="1" ht="12.75" customHeight="1">
      <c r="A72" s="42" t="s">
        <v>112</v>
      </c>
      <c r="C72" s="43" t="s">
        <v>113</v>
      </c>
      <c r="D72" s="44">
        <v>26173892</v>
      </c>
      <c r="E72" s="44">
        <v>10000000</v>
      </c>
      <c r="F72" s="44">
        <v>48876300</v>
      </c>
      <c r="G72" s="44">
        <v>48876300</v>
      </c>
      <c r="H72" s="46">
        <f>14264044.22+10320527.91</f>
        <v>24584572.130000003</v>
      </c>
      <c r="I72" s="45">
        <f t="shared" si="7"/>
        <v>93.92784279082377</v>
      </c>
      <c r="J72" s="45">
        <f t="shared" si="8"/>
        <v>50.29957695242889</v>
      </c>
      <c r="K72" s="45">
        <f t="shared" si="9"/>
        <v>50.29957695242889</v>
      </c>
      <c r="L72" s="105">
        <f t="shared" si="0"/>
        <v>0.0019541815796218884</v>
      </c>
    </row>
    <row r="73" spans="1:12" s="43" customFormat="1" ht="12.75" customHeight="1" hidden="1">
      <c r="A73" s="42" t="s">
        <v>114</v>
      </c>
      <c r="C73" s="43" t="s">
        <v>115</v>
      </c>
      <c r="D73" s="44"/>
      <c r="E73" s="44"/>
      <c r="F73" s="44"/>
      <c r="G73" s="44"/>
      <c r="H73" s="46"/>
      <c r="I73" s="45" t="e">
        <f t="shared" si="7"/>
        <v>#DIV/0!</v>
      </c>
      <c r="J73" s="45" t="e">
        <f t="shared" si="8"/>
        <v>#DIV/0!</v>
      </c>
      <c r="K73" s="45" t="e">
        <f t="shared" si="9"/>
        <v>#DIV/0!</v>
      </c>
      <c r="L73" s="105">
        <f t="shared" si="0"/>
        <v>0</v>
      </c>
    </row>
    <row r="74" spans="1:12" s="43" customFormat="1" ht="12.75" customHeight="1">
      <c r="A74" s="42" t="s">
        <v>116</v>
      </c>
      <c r="C74" s="43" t="s">
        <v>117</v>
      </c>
      <c r="D74" s="44">
        <v>40117299</v>
      </c>
      <c r="E74" s="44">
        <f>47000000+1500000</f>
        <v>48500000</v>
      </c>
      <c r="F74" s="44">
        <f>47000000+1500000</f>
        <v>48500000</v>
      </c>
      <c r="G74" s="44">
        <f>47000000+1500000</f>
        <v>48500000</v>
      </c>
      <c r="H74" s="46">
        <v>39591302</v>
      </c>
      <c r="I74" s="45">
        <f t="shared" si="7"/>
        <v>98.6888524075362</v>
      </c>
      <c r="J74" s="45">
        <f t="shared" si="8"/>
        <v>81.63155051546391</v>
      </c>
      <c r="K74" s="45">
        <f t="shared" si="9"/>
        <v>81.63155051546391</v>
      </c>
      <c r="L74" s="105">
        <f t="shared" si="0"/>
        <v>0.0031470384220043455</v>
      </c>
    </row>
    <row r="75" spans="1:12" s="43" customFormat="1" ht="12.75" customHeight="1">
      <c r="A75" s="42" t="s">
        <v>118</v>
      </c>
      <c r="C75" s="43" t="s">
        <v>119</v>
      </c>
      <c r="D75" s="44">
        <v>1336260</v>
      </c>
      <c r="E75" s="44">
        <v>1500000</v>
      </c>
      <c r="F75" s="44">
        <v>1500000</v>
      </c>
      <c r="G75" s="44">
        <v>1500000</v>
      </c>
      <c r="H75" s="46">
        <v>4990200</v>
      </c>
      <c r="I75" s="45">
        <f t="shared" si="7"/>
        <v>373.44528759373173</v>
      </c>
      <c r="J75" s="45">
        <f t="shared" si="8"/>
        <v>332.68</v>
      </c>
      <c r="K75" s="45">
        <f t="shared" si="9"/>
        <v>332.68</v>
      </c>
      <c r="L75" s="105">
        <f aca="true" t="shared" si="10" ref="L75:L138">H75/$H$7</f>
        <v>0.000396661648901723</v>
      </c>
    </row>
    <row r="76" spans="1:12" s="43" customFormat="1" ht="12.75" customHeight="1">
      <c r="A76" s="42" t="s">
        <v>120</v>
      </c>
      <c r="C76" s="43" t="s">
        <v>121</v>
      </c>
      <c r="D76" s="44">
        <f>SUM(D77:D80)</f>
        <v>146540357.2</v>
      </c>
      <c r="E76" s="44">
        <f>SUM(E77:E80)</f>
        <v>110000000</v>
      </c>
      <c r="F76" s="44">
        <f>SUM(F77:F80)</f>
        <v>240000000</v>
      </c>
      <c r="G76" s="44">
        <f>SUM(G77:G80)</f>
        <v>240000000</v>
      </c>
      <c r="H76" s="46">
        <f>SUM(H77:H80)</f>
        <v>243649684.32</v>
      </c>
      <c r="I76" s="45">
        <f t="shared" si="7"/>
        <v>166.26797489476846</v>
      </c>
      <c r="J76" s="45">
        <f t="shared" si="8"/>
        <v>101.52070179999998</v>
      </c>
      <c r="K76" s="45">
        <f t="shared" si="9"/>
        <v>101.52070179999998</v>
      </c>
      <c r="L76" s="105">
        <f t="shared" si="10"/>
        <v>0.01936725693093573</v>
      </c>
    </row>
    <row r="77" spans="1:12" s="49" customFormat="1" ht="12.75" customHeight="1">
      <c r="A77" s="47" t="s">
        <v>122</v>
      </c>
      <c r="B77" s="48"/>
      <c r="C77" s="49" t="s">
        <v>123</v>
      </c>
      <c r="D77" s="50">
        <v>20000000</v>
      </c>
      <c r="E77" s="50">
        <v>30000000</v>
      </c>
      <c r="F77" s="50">
        <v>55000000</v>
      </c>
      <c r="G77" s="50">
        <v>55000000</v>
      </c>
      <c r="H77" s="52">
        <v>54789159.65</v>
      </c>
      <c r="I77" s="51">
        <f t="shared" si="7"/>
        <v>273.94579825</v>
      </c>
      <c r="J77" s="51">
        <f t="shared" si="8"/>
        <v>99.6166539090909</v>
      </c>
      <c r="K77" s="51">
        <f t="shared" si="9"/>
        <v>99.6166539090909</v>
      </c>
      <c r="L77" s="106">
        <f t="shared" si="10"/>
        <v>0.004355087653542694</v>
      </c>
    </row>
    <row r="78" spans="1:12" s="49" customFormat="1" ht="10.5">
      <c r="A78" s="47" t="s">
        <v>124</v>
      </c>
      <c r="B78" s="48"/>
      <c r="C78" s="49" t="s">
        <v>125</v>
      </c>
      <c r="D78" s="50">
        <v>79567737.1</v>
      </c>
      <c r="E78" s="50">
        <v>55000000</v>
      </c>
      <c r="F78" s="50">
        <v>135000000</v>
      </c>
      <c r="G78" s="50">
        <v>135000000</v>
      </c>
      <c r="H78" s="52">
        <v>150206874.5</v>
      </c>
      <c r="I78" s="51">
        <f t="shared" si="7"/>
        <v>188.77861803612862</v>
      </c>
      <c r="J78" s="51">
        <f t="shared" si="8"/>
        <v>111.26435148148148</v>
      </c>
      <c r="K78" s="51">
        <f t="shared" si="9"/>
        <v>111.26435148148148</v>
      </c>
      <c r="L78" s="106">
        <f t="shared" si="10"/>
        <v>0.011939663042672473</v>
      </c>
    </row>
    <row r="79" spans="1:12" s="49" customFormat="1" ht="10.5">
      <c r="A79" s="47" t="s">
        <v>126</v>
      </c>
      <c r="B79" s="48"/>
      <c r="C79" s="49" t="s">
        <v>127</v>
      </c>
      <c r="D79" s="50">
        <v>11643044.1</v>
      </c>
      <c r="E79" s="50">
        <v>20000000</v>
      </c>
      <c r="F79" s="50">
        <v>45000000</v>
      </c>
      <c r="G79" s="50">
        <v>45000000</v>
      </c>
      <c r="H79" s="52">
        <f>19344682.83+7772275.39</f>
        <v>27116958.22</v>
      </c>
      <c r="I79" s="51">
        <f t="shared" si="7"/>
        <v>232.9026497460402</v>
      </c>
      <c r="J79" s="51">
        <f t="shared" si="8"/>
        <v>60.259907155555545</v>
      </c>
      <c r="K79" s="51">
        <f t="shared" si="9"/>
        <v>60.259907155555545</v>
      </c>
      <c r="L79" s="106">
        <f t="shared" si="10"/>
        <v>0.0021554762055116692</v>
      </c>
    </row>
    <row r="80" spans="1:12" s="49" customFormat="1" ht="10.5">
      <c r="A80" s="47" t="s">
        <v>128</v>
      </c>
      <c r="B80" s="48"/>
      <c r="C80" s="49" t="s">
        <v>129</v>
      </c>
      <c r="D80" s="50">
        <v>35329576</v>
      </c>
      <c r="E80" s="50">
        <v>5000000</v>
      </c>
      <c r="F80" s="50">
        <v>5000000</v>
      </c>
      <c r="G80" s="50">
        <v>5000000</v>
      </c>
      <c r="H80" s="52">
        <v>11536691.95</v>
      </c>
      <c r="I80" s="51">
        <f t="shared" si="7"/>
        <v>32.654487418699844</v>
      </c>
      <c r="J80" s="51">
        <f t="shared" si="8"/>
        <v>230.733839</v>
      </c>
      <c r="K80" s="51">
        <f t="shared" si="9"/>
        <v>230.733839</v>
      </c>
      <c r="L80" s="106">
        <f t="shared" si="10"/>
        <v>0.0009170300292088963</v>
      </c>
    </row>
    <row r="81" spans="1:12" s="43" customFormat="1" ht="10.5">
      <c r="A81" s="42" t="s">
        <v>130</v>
      </c>
      <c r="C81" s="43" t="s">
        <v>131</v>
      </c>
      <c r="D81" s="44">
        <v>2826399.87</v>
      </c>
      <c r="E81" s="44"/>
      <c r="F81" s="44"/>
      <c r="G81" s="44"/>
      <c r="H81" s="46">
        <v>749282.33</v>
      </c>
      <c r="I81" s="45">
        <f t="shared" si="7"/>
        <v>26.510131774100316</v>
      </c>
      <c r="J81" s="45"/>
      <c r="K81" s="45"/>
      <c r="L81" s="105"/>
    </row>
    <row r="82" spans="1:12" ht="9" customHeight="1" hidden="1">
      <c r="A82" s="34"/>
      <c r="D82" s="16"/>
      <c r="E82" s="16"/>
      <c r="H82" s="32"/>
      <c r="I82" s="31" t="e">
        <f t="shared" si="7"/>
        <v>#DIV/0!</v>
      </c>
      <c r="J82" s="31"/>
      <c r="K82" s="31"/>
      <c r="L82" s="103"/>
    </row>
    <row r="83" spans="1:12" s="37" customFormat="1" ht="12.75" hidden="1">
      <c r="A83" s="36">
        <v>706</v>
      </c>
      <c r="C83" s="37" t="s">
        <v>132</v>
      </c>
      <c r="D83" s="38"/>
      <c r="E83" s="38"/>
      <c r="F83" s="38"/>
      <c r="G83" s="38"/>
      <c r="H83" s="41"/>
      <c r="I83" s="40" t="e">
        <f t="shared" si="7"/>
        <v>#DIV/0!</v>
      </c>
      <c r="J83" s="40"/>
      <c r="K83" s="40"/>
      <c r="L83" s="107"/>
    </row>
    <row r="84" spans="1:12" ht="12.75" hidden="1">
      <c r="A84" s="34">
        <v>7060</v>
      </c>
      <c r="C84" t="s">
        <v>133</v>
      </c>
      <c r="D84" s="16"/>
      <c r="E84" s="16"/>
      <c r="H84" s="32"/>
      <c r="I84" s="31" t="e">
        <f t="shared" si="7"/>
        <v>#DIV/0!</v>
      </c>
      <c r="J84" s="31"/>
      <c r="K84" s="31"/>
      <c r="L84" s="103"/>
    </row>
    <row r="85" spans="1:12" ht="12.75">
      <c r="A85" s="34"/>
      <c r="D85" s="16"/>
      <c r="E85" s="16"/>
      <c r="H85" s="32"/>
      <c r="I85" s="31"/>
      <c r="J85" s="31"/>
      <c r="K85" s="31"/>
      <c r="L85" s="103"/>
    </row>
    <row r="86" spans="1:12" s="54" customFormat="1" ht="15">
      <c r="A86" s="53">
        <v>71</v>
      </c>
      <c r="C86" s="54" t="s">
        <v>134</v>
      </c>
      <c r="D86" s="20">
        <f>D89+D150+D155+D161+D189</f>
        <v>2375814900.71</v>
      </c>
      <c r="E86" s="20">
        <f>E89+E150+E155+E161+E189</f>
        <v>2625503000</v>
      </c>
      <c r="F86" s="20">
        <f>F89+F150+F155+F161+F189</f>
        <v>2948975000</v>
      </c>
      <c r="G86" s="20">
        <f>G89+G150+G155+G161+G189</f>
        <v>2955975000</v>
      </c>
      <c r="H86" s="22">
        <f>H89+H150+H155+H161+H189</f>
        <v>3025910982.23</v>
      </c>
      <c r="I86" s="21">
        <f>H86/D86*100</f>
        <v>127.36307787806712</v>
      </c>
      <c r="J86" s="21">
        <f>H86/F86*100</f>
        <v>102.60890588187421</v>
      </c>
      <c r="K86" s="21">
        <f>+H86/$G86*100</f>
        <v>102.36591927299791</v>
      </c>
      <c r="L86" s="100">
        <f t="shared" si="10"/>
        <v>0.24052399495835522</v>
      </c>
    </row>
    <row r="87" spans="1:12" ht="12.75">
      <c r="A87" s="34"/>
      <c r="C87" s="35" t="s">
        <v>135</v>
      </c>
      <c r="D87" s="16"/>
      <c r="E87" s="16"/>
      <c r="H87" s="32"/>
      <c r="I87" s="31"/>
      <c r="J87" s="31"/>
      <c r="K87" s="31"/>
      <c r="L87" s="103"/>
    </row>
    <row r="88" spans="1:12" ht="12.75" customHeight="1">
      <c r="A88" s="34"/>
      <c r="D88" s="16"/>
      <c r="E88" s="16"/>
      <c r="H88" s="32"/>
      <c r="I88" s="31"/>
      <c r="J88" s="31"/>
      <c r="K88" s="31"/>
      <c r="L88" s="103"/>
    </row>
    <row r="89" spans="1:12" s="37" customFormat="1" ht="12.75">
      <c r="A89" s="36">
        <v>710</v>
      </c>
      <c r="C89" s="37" t="s">
        <v>136</v>
      </c>
      <c r="D89" s="38">
        <f>D91+D98+D109+D115</f>
        <v>1554941320.1599998</v>
      </c>
      <c r="E89" s="38">
        <f>E91+E98+E109+E115</f>
        <v>1632600000</v>
      </c>
      <c r="F89" s="38">
        <f>F91+F98+F109+F115</f>
        <v>1787875000</v>
      </c>
      <c r="G89" s="38">
        <f>G91+G98+G109+G115</f>
        <v>1794875000</v>
      </c>
      <c r="H89" s="41">
        <f>H91+H98+H109+H115</f>
        <v>1915716379.4299998</v>
      </c>
      <c r="I89" s="40">
        <f>H89/D89*100</f>
        <v>123.20184399195702</v>
      </c>
      <c r="J89" s="40">
        <f>H89/F89*100</f>
        <v>107.1504651852059</v>
      </c>
      <c r="K89" s="40">
        <f>+H89/$G89*100</f>
        <v>106.7325791172087</v>
      </c>
      <c r="L89" s="104">
        <f t="shared" si="10"/>
        <v>0.15227670592215595</v>
      </c>
    </row>
    <row r="90" spans="1:12" s="37" customFormat="1" ht="12.75">
      <c r="A90" s="36"/>
      <c r="C90" s="37" t="s">
        <v>137</v>
      </c>
      <c r="D90" s="38"/>
      <c r="E90" s="38"/>
      <c r="F90" s="38"/>
      <c r="G90" s="38"/>
      <c r="H90" s="41"/>
      <c r="I90" s="40"/>
      <c r="J90" s="40"/>
      <c r="K90" s="40"/>
      <c r="L90" s="107">
        <f t="shared" si="10"/>
        <v>0</v>
      </c>
    </row>
    <row r="91" spans="1:12" s="37" customFormat="1" ht="12.75">
      <c r="A91" s="36">
        <v>7100</v>
      </c>
      <c r="C91" s="37" t="s">
        <v>138</v>
      </c>
      <c r="D91" s="38">
        <f>D92</f>
        <v>16344740.25</v>
      </c>
      <c r="E91" s="38">
        <f>E92</f>
        <v>20000000</v>
      </c>
      <c r="F91" s="38">
        <f>F92</f>
        <v>20000000</v>
      </c>
      <c r="G91" s="38">
        <f>G92</f>
        <v>20000000</v>
      </c>
      <c r="H91" s="41">
        <f>H92</f>
        <v>33270308.4</v>
      </c>
      <c r="I91" s="40">
        <f>H91/D91*100</f>
        <v>203.5536074059054</v>
      </c>
      <c r="J91" s="40">
        <f>H91/F91*100</f>
        <v>166.351542</v>
      </c>
      <c r="K91" s="40">
        <f>+H91/$G91*100</f>
        <v>166.351542</v>
      </c>
      <c r="L91" s="104">
        <f t="shared" si="10"/>
        <v>0.0026445944830693854</v>
      </c>
    </row>
    <row r="92" spans="1:12" s="43" customFormat="1" ht="12.75" customHeight="1">
      <c r="A92" s="10">
        <v>710000</v>
      </c>
      <c r="C92" s="43" t="s">
        <v>139</v>
      </c>
      <c r="D92" s="44">
        <f>SUM(D93:D96)</f>
        <v>16344740.25</v>
      </c>
      <c r="E92" s="44">
        <f>SUM(E93:E94)</f>
        <v>20000000</v>
      </c>
      <c r="F92" s="44">
        <f>SUM(F93:F94)</f>
        <v>20000000</v>
      </c>
      <c r="G92" s="44">
        <f>SUM(G93:G94)</f>
        <v>20000000</v>
      </c>
      <c r="H92" s="46">
        <f>SUM(H93:H97)</f>
        <v>33270308.4</v>
      </c>
      <c r="I92" s="45">
        <f>H92/D92*100</f>
        <v>203.5536074059054</v>
      </c>
      <c r="J92" s="45">
        <f>H92/F92*100</f>
        <v>166.351542</v>
      </c>
      <c r="K92" s="45">
        <f>+H92/$G92*100</f>
        <v>166.351542</v>
      </c>
      <c r="L92" s="105">
        <f t="shared" si="10"/>
        <v>0.0026445944830693854</v>
      </c>
    </row>
    <row r="93" spans="1:12" s="49" customFormat="1" ht="12.75" customHeight="1">
      <c r="A93" s="47" t="s">
        <v>140</v>
      </c>
      <c r="B93" s="48"/>
      <c r="C93" s="49" t="s">
        <v>141</v>
      </c>
      <c r="D93" s="50">
        <v>14272243.85</v>
      </c>
      <c r="E93" s="50"/>
      <c r="F93" s="50"/>
      <c r="G93" s="50"/>
      <c r="H93" s="52"/>
      <c r="I93" s="51"/>
      <c r="J93" s="51"/>
      <c r="K93" s="51"/>
      <c r="L93" s="106">
        <f t="shared" si="10"/>
        <v>0</v>
      </c>
    </row>
    <row r="94" spans="1:12" s="49" customFormat="1" ht="10.5">
      <c r="A94" s="47" t="s">
        <v>142</v>
      </c>
      <c r="B94" s="48"/>
      <c r="C94" s="49" t="s">
        <v>143</v>
      </c>
      <c r="D94" s="50"/>
      <c r="E94" s="50">
        <v>20000000</v>
      </c>
      <c r="F94" s="50">
        <v>20000000</v>
      </c>
      <c r="G94" s="50">
        <v>20000000</v>
      </c>
      <c r="H94" s="52"/>
      <c r="I94" s="51"/>
      <c r="J94" s="51"/>
      <c r="K94" s="51"/>
      <c r="L94" s="106">
        <f t="shared" si="10"/>
        <v>0</v>
      </c>
    </row>
    <row r="95" spans="1:12" s="49" customFormat="1" ht="10.5">
      <c r="A95" s="47" t="s">
        <v>144</v>
      </c>
      <c r="B95" s="48"/>
      <c r="C95" s="49" t="s">
        <v>145</v>
      </c>
      <c r="D95" s="50">
        <v>1359346.4</v>
      </c>
      <c r="E95" s="50"/>
      <c r="F95" s="50"/>
      <c r="G95" s="50"/>
      <c r="H95" s="52"/>
      <c r="I95" s="51"/>
      <c r="J95" s="51"/>
      <c r="K95" s="51"/>
      <c r="L95" s="106">
        <f t="shared" si="10"/>
        <v>0</v>
      </c>
    </row>
    <row r="96" spans="1:12" s="49" customFormat="1" ht="10.5">
      <c r="A96" s="47" t="s">
        <v>146</v>
      </c>
      <c r="B96" s="48"/>
      <c r="C96" s="49" t="s">
        <v>147</v>
      </c>
      <c r="D96" s="50">
        <v>713150</v>
      </c>
      <c r="E96" s="50"/>
      <c r="F96" s="50"/>
      <c r="G96" s="50"/>
      <c r="H96" s="52"/>
      <c r="I96" s="51"/>
      <c r="J96" s="51"/>
      <c r="K96" s="51"/>
      <c r="L96" s="106">
        <f t="shared" si="10"/>
        <v>0</v>
      </c>
    </row>
    <row r="97" spans="1:12" s="49" customFormat="1" ht="10.5">
      <c r="A97" s="47" t="s">
        <v>572</v>
      </c>
      <c r="B97" s="48"/>
      <c r="C97" s="49" t="s">
        <v>573</v>
      </c>
      <c r="D97" s="50"/>
      <c r="E97" s="50"/>
      <c r="F97" s="50"/>
      <c r="G97" s="50"/>
      <c r="H97" s="52">
        <v>33270308.4</v>
      </c>
      <c r="I97" s="51"/>
      <c r="J97" s="51"/>
      <c r="K97" s="51"/>
      <c r="L97" s="106">
        <f t="shared" si="10"/>
        <v>0.0026445944830693854</v>
      </c>
    </row>
    <row r="98" spans="1:12" s="37" customFormat="1" ht="12.75">
      <c r="A98" s="36">
        <v>7101</v>
      </c>
      <c r="C98" s="37" t="s">
        <v>148</v>
      </c>
      <c r="D98" s="38">
        <f>D99</f>
        <v>101966516.94999999</v>
      </c>
      <c r="E98" s="38">
        <f>E99</f>
        <v>30000000</v>
      </c>
      <c r="F98" s="38">
        <f>F99</f>
        <v>30000000</v>
      </c>
      <c r="G98" s="38">
        <f>G99</f>
        <v>30000000</v>
      </c>
      <c r="H98" s="41">
        <f>H99</f>
        <v>58160920.5</v>
      </c>
      <c r="I98" s="40">
        <f aca="true" t="shared" si="11" ref="I98:I105">H98/D98*100</f>
        <v>57.039234289545874</v>
      </c>
      <c r="J98" s="40">
        <f aca="true" t="shared" si="12" ref="J98:J103">H98/F98*100</f>
        <v>193.869735</v>
      </c>
      <c r="K98" s="40">
        <f aca="true" t="shared" si="13" ref="K98:K103">+H98/$G98*100</f>
        <v>193.869735</v>
      </c>
      <c r="L98" s="104">
        <f t="shared" si="10"/>
        <v>0.00462310260654323</v>
      </c>
    </row>
    <row r="99" spans="1:12" s="43" customFormat="1" ht="12.75" customHeight="1">
      <c r="A99" s="42" t="s">
        <v>149</v>
      </c>
      <c r="C99" s="43" t="s">
        <v>150</v>
      </c>
      <c r="D99" s="44">
        <f>SUM(D100:D107)</f>
        <v>101966516.94999999</v>
      </c>
      <c r="E99" s="44">
        <f>SUM(E100:E107)</f>
        <v>30000000</v>
      </c>
      <c r="F99" s="44">
        <f>SUM(F100:F108)</f>
        <v>30000000</v>
      </c>
      <c r="G99" s="44">
        <f>SUM(G100:G108)</f>
        <v>30000000</v>
      </c>
      <c r="H99" s="46">
        <f>SUM(H100:H108)</f>
        <v>58160920.5</v>
      </c>
      <c r="I99" s="45">
        <f t="shared" si="11"/>
        <v>57.039234289545874</v>
      </c>
      <c r="J99" s="45">
        <f t="shared" si="12"/>
        <v>193.869735</v>
      </c>
      <c r="K99" s="45">
        <f t="shared" si="13"/>
        <v>193.869735</v>
      </c>
      <c r="L99" s="105">
        <f t="shared" si="10"/>
        <v>0.00462310260654323</v>
      </c>
    </row>
    <row r="100" spans="1:12" s="49" customFormat="1" ht="12.75" customHeight="1">
      <c r="A100" s="47" t="s">
        <v>151</v>
      </c>
      <c r="B100" s="48"/>
      <c r="C100" s="49" t="s">
        <v>125</v>
      </c>
      <c r="D100" s="50">
        <v>49033492.5</v>
      </c>
      <c r="E100" s="50">
        <v>15000000</v>
      </c>
      <c r="F100" s="50">
        <v>15000000</v>
      </c>
      <c r="G100" s="50">
        <v>15000000</v>
      </c>
      <c r="H100" s="52">
        <v>26743800</v>
      </c>
      <c r="I100" s="51">
        <f t="shared" si="11"/>
        <v>54.54190316955293</v>
      </c>
      <c r="J100" s="51">
        <f t="shared" si="12"/>
        <v>178.292</v>
      </c>
      <c r="K100" s="51">
        <f t="shared" si="13"/>
        <v>178.292</v>
      </c>
      <c r="L100" s="106">
        <f t="shared" si="10"/>
        <v>0.002125814557712697</v>
      </c>
    </row>
    <row r="101" spans="1:12" s="49" customFormat="1" ht="10.5">
      <c r="A101" s="47" t="s">
        <v>152</v>
      </c>
      <c r="B101" s="48"/>
      <c r="C101" s="49" t="s">
        <v>127</v>
      </c>
      <c r="D101" s="50">
        <v>38514838</v>
      </c>
      <c r="E101" s="50">
        <v>15000000</v>
      </c>
      <c r="F101" s="50">
        <v>15000000</v>
      </c>
      <c r="G101" s="50">
        <v>15000000</v>
      </c>
      <c r="H101" s="52">
        <v>27080997.3</v>
      </c>
      <c r="I101" s="51">
        <f t="shared" si="11"/>
        <v>70.31315385514539</v>
      </c>
      <c r="J101" s="51">
        <f t="shared" si="12"/>
        <v>180.539982</v>
      </c>
      <c r="K101" s="51">
        <f t="shared" si="13"/>
        <v>180.539982</v>
      </c>
      <c r="L101" s="106">
        <f t="shared" si="10"/>
        <v>0.0021526177393533545</v>
      </c>
    </row>
    <row r="102" spans="1:12" s="49" customFormat="1" ht="10.5" hidden="1">
      <c r="A102" s="47" t="s">
        <v>153</v>
      </c>
      <c r="B102" s="48"/>
      <c r="C102" s="49" t="s">
        <v>123</v>
      </c>
      <c r="D102" s="50"/>
      <c r="E102" s="50"/>
      <c r="F102" s="50"/>
      <c r="G102" s="50"/>
      <c r="H102" s="52"/>
      <c r="I102" s="51" t="e">
        <f t="shared" si="11"/>
        <v>#DIV/0!</v>
      </c>
      <c r="J102" s="51" t="e">
        <f t="shared" si="12"/>
        <v>#DIV/0!</v>
      </c>
      <c r="K102" s="51" t="e">
        <f t="shared" si="13"/>
        <v>#DIV/0!</v>
      </c>
      <c r="L102" s="106">
        <f t="shared" si="10"/>
        <v>0</v>
      </c>
    </row>
    <row r="103" spans="1:12" s="49" customFormat="1" ht="10.5" hidden="1">
      <c r="A103" s="47" t="s">
        <v>154</v>
      </c>
      <c r="B103" s="48"/>
      <c r="C103" s="49" t="s">
        <v>155</v>
      </c>
      <c r="D103" s="50"/>
      <c r="E103" s="50"/>
      <c r="F103" s="50"/>
      <c r="G103" s="50"/>
      <c r="H103" s="52"/>
      <c r="I103" s="51" t="e">
        <f t="shared" si="11"/>
        <v>#DIV/0!</v>
      </c>
      <c r="J103" s="51" t="e">
        <f t="shared" si="12"/>
        <v>#DIV/0!</v>
      </c>
      <c r="K103" s="51" t="e">
        <f t="shared" si="13"/>
        <v>#DIV/0!</v>
      </c>
      <c r="L103" s="106">
        <f t="shared" si="10"/>
        <v>0</v>
      </c>
    </row>
    <row r="104" spans="1:12" s="49" customFormat="1" ht="10.5">
      <c r="A104" s="47" t="s">
        <v>156</v>
      </c>
      <c r="B104" s="48"/>
      <c r="C104" s="49" t="s">
        <v>157</v>
      </c>
      <c r="D104" s="50">
        <f>2366204.35+51940</f>
        <v>2418144.35</v>
      </c>
      <c r="E104" s="50"/>
      <c r="F104" s="50"/>
      <c r="G104" s="50"/>
      <c r="H104" s="52">
        <v>2344320</v>
      </c>
      <c r="I104" s="51">
        <f t="shared" si="11"/>
        <v>96.9470660426041</v>
      </c>
      <c r="J104" s="51"/>
      <c r="K104" s="51"/>
      <c r="L104" s="106">
        <f t="shared" si="10"/>
        <v>0.0001863456047359399</v>
      </c>
    </row>
    <row r="105" spans="1:12" s="49" customFormat="1" ht="10.5" hidden="1">
      <c r="A105" s="47" t="s">
        <v>158</v>
      </c>
      <c r="B105" s="48"/>
      <c r="C105" s="49" t="s">
        <v>159</v>
      </c>
      <c r="D105" s="50"/>
      <c r="E105" s="50"/>
      <c r="F105" s="50"/>
      <c r="G105" s="50"/>
      <c r="H105" s="52"/>
      <c r="I105" s="51" t="e">
        <f t="shared" si="11"/>
        <v>#DIV/0!</v>
      </c>
      <c r="J105" s="51"/>
      <c r="K105" s="51"/>
      <c r="L105" s="106">
        <f t="shared" si="10"/>
        <v>0</v>
      </c>
    </row>
    <row r="106" spans="1:12" s="49" customFormat="1" ht="10.5">
      <c r="A106" s="47" t="s">
        <v>160</v>
      </c>
      <c r="B106" s="48"/>
      <c r="C106" s="49" t="s">
        <v>161</v>
      </c>
      <c r="D106" s="50">
        <v>12000042.1</v>
      </c>
      <c r="E106" s="50"/>
      <c r="F106" s="50"/>
      <c r="G106" s="50"/>
      <c r="H106" s="52"/>
      <c r="I106" s="51"/>
      <c r="J106" s="51"/>
      <c r="K106" s="51"/>
      <c r="L106" s="106">
        <f t="shared" si="10"/>
        <v>0</v>
      </c>
    </row>
    <row r="107" spans="1:12" s="49" customFormat="1" ht="10.5">
      <c r="A107" s="47" t="s">
        <v>162</v>
      </c>
      <c r="B107" s="48"/>
      <c r="C107" s="49" t="s">
        <v>163</v>
      </c>
      <c r="D107" s="50"/>
      <c r="E107" s="50"/>
      <c r="F107" s="50"/>
      <c r="G107" s="50"/>
      <c r="H107" s="52">
        <v>958883.2</v>
      </c>
      <c r="I107" s="51"/>
      <c r="J107" s="51"/>
      <c r="K107" s="51"/>
      <c r="L107" s="106">
        <f t="shared" si="10"/>
        <v>7.621982910828437E-05</v>
      </c>
    </row>
    <row r="108" spans="1:12" s="49" customFormat="1" ht="10.5">
      <c r="A108" s="47" t="s">
        <v>164</v>
      </c>
      <c r="B108" s="48"/>
      <c r="C108" s="49" t="s">
        <v>165</v>
      </c>
      <c r="D108" s="50"/>
      <c r="E108" s="50"/>
      <c r="F108" s="50"/>
      <c r="G108" s="50"/>
      <c r="H108" s="52">
        <v>1032920</v>
      </c>
      <c r="I108" s="51"/>
      <c r="J108" s="51"/>
      <c r="K108" s="51"/>
      <c r="L108" s="106">
        <f t="shared" si="10"/>
        <v>8.210487563295414E-05</v>
      </c>
    </row>
    <row r="109" spans="1:12" s="37" customFormat="1" ht="12.75">
      <c r="A109" s="36">
        <v>7102</v>
      </c>
      <c r="C109" s="37" t="s">
        <v>166</v>
      </c>
      <c r="D109" s="38">
        <f>SUM(D110:D112)</f>
        <v>96814144.92</v>
      </c>
      <c r="E109" s="38">
        <f>SUM(E110:E112)</f>
        <v>61000000</v>
      </c>
      <c r="F109" s="38">
        <f>SUM(F110:F112)</f>
        <v>138000000</v>
      </c>
      <c r="G109" s="38">
        <f>SUM(G110:G112)</f>
        <v>138000000</v>
      </c>
      <c r="H109" s="41">
        <f>SUM(H110:H114)</f>
        <v>292822878.24999994</v>
      </c>
      <c r="I109" s="40">
        <f>H109/D109*100</f>
        <v>302.45877654754577</v>
      </c>
      <c r="J109" s="40">
        <f>H109/F109*100</f>
        <v>212.19049148550718</v>
      </c>
      <c r="K109" s="40">
        <f>+H109/$G109*100</f>
        <v>212.19049148550718</v>
      </c>
      <c r="L109" s="104">
        <f t="shared" si="10"/>
        <v>0.02327594199086078</v>
      </c>
    </row>
    <row r="110" spans="1:12" s="43" customFormat="1" ht="12.75" customHeight="1">
      <c r="A110" s="42" t="s">
        <v>167</v>
      </c>
      <c r="C110" s="43" t="s">
        <v>168</v>
      </c>
      <c r="D110" s="44">
        <v>1477188.66</v>
      </c>
      <c r="E110" s="44">
        <v>1000000</v>
      </c>
      <c r="F110" s="44">
        <v>1000000</v>
      </c>
      <c r="G110" s="44">
        <v>1000000</v>
      </c>
      <c r="H110" s="46">
        <v>1250551.84</v>
      </c>
      <c r="I110" s="45">
        <f>H110/D110*100</f>
        <v>84.65755755260132</v>
      </c>
      <c r="J110" s="45">
        <f>H110/F110*100</f>
        <v>125.05518400000003</v>
      </c>
      <c r="K110" s="45">
        <f>+H110/$G110*100</f>
        <v>125.05518400000003</v>
      </c>
      <c r="L110" s="105">
        <f t="shared" si="10"/>
        <v>9.940402286310845E-05</v>
      </c>
    </row>
    <row r="111" spans="1:12" s="43" customFormat="1" ht="12.75" customHeight="1">
      <c r="A111" s="42" t="s">
        <v>169</v>
      </c>
      <c r="C111" s="43" t="s">
        <v>170</v>
      </c>
      <c r="D111" s="44">
        <v>95336956.26</v>
      </c>
      <c r="E111" s="44">
        <v>60000000</v>
      </c>
      <c r="F111" s="44">
        <v>108000000</v>
      </c>
      <c r="G111" s="44">
        <v>108000000</v>
      </c>
      <c r="H111" s="46">
        <v>291208097.4</v>
      </c>
      <c r="I111" s="45">
        <f>H111/D111*100</f>
        <v>305.4514312433326</v>
      </c>
      <c r="J111" s="45">
        <f>H111/F111*100</f>
        <v>269.6371272222222</v>
      </c>
      <c r="K111" s="45">
        <f>+H111/$G111*100</f>
        <v>269.6371272222222</v>
      </c>
      <c r="L111" s="105">
        <f t="shared" si="10"/>
        <v>0.023147586086372803</v>
      </c>
    </row>
    <row r="112" spans="1:12" s="43" customFormat="1" ht="12.75" customHeight="1">
      <c r="A112" s="42" t="s">
        <v>171</v>
      </c>
      <c r="C112" s="43" t="s">
        <v>583</v>
      </c>
      <c r="D112" s="44"/>
      <c r="E112" s="44"/>
      <c r="F112" s="44">
        <v>29000000</v>
      </c>
      <c r="G112" s="44">
        <v>29000000</v>
      </c>
      <c r="H112" s="46">
        <v>0</v>
      </c>
      <c r="I112" s="45"/>
      <c r="J112" s="45">
        <f>H112/F112*100</f>
        <v>0</v>
      </c>
      <c r="K112" s="45">
        <f>+H112/$G112*100</f>
        <v>0</v>
      </c>
      <c r="L112" s="105">
        <f t="shared" si="10"/>
        <v>0</v>
      </c>
    </row>
    <row r="113" spans="1:12" s="43" customFormat="1" ht="12.75" customHeight="1">
      <c r="A113" s="42" t="s">
        <v>581</v>
      </c>
      <c r="C113" s="43" t="s">
        <v>582</v>
      </c>
      <c r="D113" s="44"/>
      <c r="E113" s="44"/>
      <c r="F113" s="44"/>
      <c r="G113" s="44"/>
      <c r="H113" s="46">
        <v>51857.09</v>
      </c>
      <c r="I113" s="45"/>
      <c r="J113" s="45"/>
      <c r="K113" s="45"/>
      <c r="L113" s="105">
        <f t="shared" si="10"/>
        <v>4.1220229302723444E-06</v>
      </c>
    </row>
    <row r="114" spans="1:12" s="43" customFormat="1" ht="12.75" customHeight="1">
      <c r="A114" s="42">
        <v>710215</v>
      </c>
      <c r="C114" s="43" t="s">
        <v>580</v>
      </c>
      <c r="D114" s="44"/>
      <c r="E114" s="44"/>
      <c r="F114" s="44"/>
      <c r="G114" s="44"/>
      <c r="H114" s="46">
        <v>312371.92</v>
      </c>
      <c r="I114" s="45"/>
      <c r="J114" s="45"/>
      <c r="K114" s="45"/>
      <c r="L114" s="105">
        <f t="shared" si="10"/>
        <v>2.482985869460084E-05</v>
      </c>
    </row>
    <row r="115" spans="1:12" s="37" customFormat="1" ht="12.75">
      <c r="A115" s="36">
        <v>7103</v>
      </c>
      <c r="C115" s="37" t="s">
        <v>172</v>
      </c>
      <c r="D115" s="38">
        <f>SUM(D116:D118)+D130+D131+D143+D144+D145</f>
        <v>1339815918.04</v>
      </c>
      <c r="E115" s="38">
        <f>SUM(E116:E118)+E130+E131+E143+E144+E145</f>
        <v>1521600000</v>
      </c>
      <c r="F115" s="38">
        <f>SUM(F116:F118)+F130+F131+F143+F144+F145</f>
        <v>1599875000</v>
      </c>
      <c r="G115" s="38">
        <f>SUM(G116:G118)+G130+G131+G143+G144+G145</f>
        <v>1606875000</v>
      </c>
      <c r="H115" s="41">
        <f>SUM(H116:H118)+H130+H131+H143+H144+H145</f>
        <v>1531462272.28</v>
      </c>
      <c r="I115" s="40">
        <f aca="true" t="shared" si="14" ref="I115:I124">H115/D115*100</f>
        <v>114.30393173118567</v>
      </c>
      <c r="J115" s="40">
        <f aca="true" t="shared" si="15" ref="J115:J126">H115/F115*100</f>
        <v>95.7238704448785</v>
      </c>
      <c r="K115" s="40">
        <f aca="true" t="shared" si="16" ref="K115:K148">+H115/$G115*100</f>
        <v>95.30687030914041</v>
      </c>
      <c r="L115" s="107">
        <f t="shared" si="10"/>
        <v>0.12173306684168256</v>
      </c>
    </row>
    <row r="116" spans="1:12" s="43" customFormat="1" ht="12.75" customHeight="1">
      <c r="A116" s="42" t="s">
        <v>173</v>
      </c>
      <c r="C116" s="43" t="s">
        <v>174</v>
      </c>
      <c r="D116" s="44">
        <f>500385354.81-496422.34</f>
        <v>499888932.47</v>
      </c>
      <c r="E116" s="44">
        <v>490000000</v>
      </c>
      <c r="F116" s="44">
        <v>493000000</v>
      </c>
      <c r="G116" s="44">
        <v>493000000</v>
      </c>
      <c r="H116" s="46">
        <v>496838927.44</v>
      </c>
      <c r="I116" s="45">
        <f t="shared" si="14"/>
        <v>99.38986346128335</v>
      </c>
      <c r="J116" s="45">
        <f t="shared" si="15"/>
        <v>100.77868710750506</v>
      </c>
      <c r="K116" s="45">
        <f t="shared" si="16"/>
        <v>100.77868710750506</v>
      </c>
      <c r="L116" s="105">
        <f t="shared" si="10"/>
        <v>0.03949279551859924</v>
      </c>
    </row>
    <row r="117" spans="1:12" s="43" customFormat="1" ht="12.75" customHeight="1">
      <c r="A117" s="42" t="s">
        <v>175</v>
      </c>
      <c r="C117" s="43" t="s">
        <v>176</v>
      </c>
      <c r="D117" s="44">
        <v>365104153.55</v>
      </c>
      <c r="E117" s="44">
        <v>407000000</v>
      </c>
      <c r="F117" s="44">
        <v>407000000</v>
      </c>
      <c r="G117" s="44">
        <v>407000000</v>
      </c>
      <c r="H117" s="46">
        <v>386989208.29</v>
      </c>
      <c r="I117" s="45">
        <f t="shared" si="14"/>
        <v>105.9941949515518</v>
      </c>
      <c r="J117" s="45">
        <f t="shared" si="15"/>
        <v>95.08334356019657</v>
      </c>
      <c r="K117" s="45">
        <f t="shared" si="16"/>
        <v>95.08334356019657</v>
      </c>
      <c r="L117" s="105">
        <f t="shared" si="10"/>
        <v>0.03076104714590272</v>
      </c>
    </row>
    <row r="118" spans="1:12" s="43" customFormat="1" ht="12.75" customHeight="1">
      <c r="A118" s="42" t="s">
        <v>177</v>
      </c>
      <c r="C118" s="43" t="s">
        <v>178</v>
      </c>
      <c r="D118" s="44">
        <f>SUM(D119:D129)</f>
        <v>253406177.42000002</v>
      </c>
      <c r="E118" s="44">
        <f>SUM(E119:E129)</f>
        <v>422000000</v>
      </c>
      <c r="F118" s="44">
        <f>SUM(F119:F129)</f>
        <v>466340000</v>
      </c>
      <c r="G118" s="44">
        <f>SUM(G119:G129)</f>
        <v>466340000</v>
      </c>
      <c r="H118" s="46">
        <f>SUM(H119:H129)</f>
        <v>395675448.28999996</v>
      </c>
      <c r="I118" s="45">
        <f t="shared" si="14"/>
        <v>156.14277927968595</v>
      </c>
      <c r="J118" s="45">
        <f t="shared" si="15"/>
        <v>84.84698895441095</v>
      </c>
      <c r="K118" s="45">
        <f t="shared" si="16"/>
        <v>84.84698895441095</v>
      </c>
      <c r="L118" s="105">
        <f t="shared" si="10"/>
        <v>0.03145150008990418</v>
      </c>
    </row>
    <row r="119" spans="1:12" s="49" customFormat="1" ht="12.75" customHeight="1">
      <c r="A119" s="47" t="s">
        <v>179</v>
      </c>
      <c r="B119" s="48"/>
      <c r="C119" s="49" t="s">
        <v>180</v>
      </c>
      <c r="D119" s="50">
        <v>151163828.91</v>
      </c>
      <c r="E119" s="50">
        <f>140000000+30000000</f>
        <v>170000000</v>
      </c>
      <c r="F119" s="50">
        <v>220000000</v>
      </c>
      <c r="G119" s="50">
        <v>220000000</v>
      </c>
      <c r="H119" s="52">
        <v>209266583.79</v>
      </c>
      <c r="I119" s="51">
        <f t="shared" si="14"/>
        <v>138.43694308285433</v>
      </c>
      <c r="J119" s="51">
        <f t="shared" si="15"/>
        <v>95.12117445</v>
      </c>
      <c r="K119" s="51">
        <f t="shared" si="16"/>
        <v>95.12117445</v>
      </c>
      <c r="L119" s="106">
        <f t="shared" si="10"/>
        <v>0.016634208686259463</v>
      </c>
    </row>
    <row r="120" spans="1:12" s="49" customFormat="1" ht="10.5">
      <c r="A120" s="47" t="s">
        <v>181</v>
      </c>
      <c r="B120" s="48"/>
      <c r="C120" s="49" t="s">
        <v>182</v>
      </c>
      <c r="D120" s="50">
        <v>10725051.65</v>
      </c>
      <c r="E120" s="50">
        <f>15000000-5000000</f>
        <v>10000000</v>
      </c>
      <c r="F120" s="50">
        <v>10000000</v>
      </c>
      <c r="G120" s="50">
        <v>10000000</v>
      </c>
      <c r="H120" s="52">
        <f>1198904.4+6985522.79</f>
        <v>8184427.1899999995</v>
      </c>
      <c r="I120" s="51">
        <f t="shared" si="14"/>
        <v>76.31130792736089</v>
      </c>
      <c r="J120" s="51">
        <f t="shared" si="15"/>
        <v>81.8442719</v>
      </c>
      <c r="K120" s="51">
        <f t="shared" si="16"/>
        <v>81.8442719</v>
      </c>
      <c r="L120" s="106">
        <f t="shared" si="10"/>
        <v>0.0006505647838766975</v>
      </c>
    </row>
    <row r="121" spans="1:12" s="49" customFormat="1" ht="10.5">
      <c r="A121" s="47" t="s">
        <v>183</v>
      </c>
      <c r="B121" s="48"/>
      <c r="C121" s="49" t="s">
        <v>184</v>
      </c>
      <c r="D121" s="50">
        <v>7975653.74</v>
      </c>
      <c r="E121" s="50">
        <f>5000000+300000</f>
        <v>5300000</v>
      </c>
      <c r="F121" s="50">
        <v>8500000</v>
      </c>
      <c r="G121" s="50">
        <v>8500000</v>
      </c>
      <c r="H121" s="52">
        <v>12204694.28</v>
      </c>
      <c r="I121" s="51">
        <f t="shared" si="14"/>
        <v>153.0243749022133</v>
      </c>
      <c r="J121" s="51">
        <f t="shared" si="15"/>
        <v>143.5846385882353</v>
      </c>
      <c r="K121" s="51">
        <f t="shared" si="16"/>
        <v>143.5846385882353</v>
      </c>
      <c r="L121" s="106">
        <f t="shared" si="10"/>
        <v>0.000970128282923776</v>
      </c>
    </row>
    <row r="122" spans="1:12" s="49" customFormat="1" ht="10.5">
      <c r="A122" s="47" t="s">
        <v>185</v>
      </c>
      <c r="B122" s="48"/>
      <c r="C122" s="49" t="s">
        <v>186</v>
      </c>
      <c r="D122" s="50">
        <v>33414427.62</v>
      </c>
      <c r="E122" s="50">
        <f>50000000+3100000</f>
        <v>53100000</v>
      </c>
      <c r="F122" s="50">
        <v>36100000</v>
      </c>
      <c r="G122" s="50">
        <v>36100000</v>
      </c>
      <c r="H122" s="52">
        <v>18217965.72</v>
      </c>
      <c r="I122" s="51">
        <f t="shared" si="14"/>
        <v>54.52125628839366</v>
      </c>
      <c r="J122" s="51">
        <f t="shared" si="15"/>
        <v>50.46527900277008</v>
      </c>
      <c r="K122" s="51">
        <f t="shared" si="16"/>
        <v>50.46527900277008</v>
      </c>
      <c r="L122" s="106">
        <f t="shared" si="10"/>
        <v>0.0014481119638752487</v>
      </c>
    </row>
    <row r="123" spans="1:12" s="49" customFormat="1" ht="10.5">
      <c r="A123" s="47" t="s">
        <v>187</v>
      </c>
      <c r="B123" s="48"/>
      <c r="C123" s="49" t="s">
        <v>188</v>
      </c>
      <c r="D123" s="50">
        <v>1646000</v>
      </c>
      <c r="E123" s="50">
        <f>1500000+1000000</f>
        <v>2500000</v>
      </c>
      <c r="F123" s="50">
        <v>2500000</v>
      </c>
      <c r="G123" s="50">
        <v>2500000</v>
      </c>
      <c r="H123" s="52">
        <v>1134250</v>
      </c>
      <c r="I123" s="51">
        <f t="shared" si="14"/>
        <v>68.90947752126367</v>
      </c>
      <c r="J123" s="51">
        <f t="shared" si="15"/>
        <v>45.37</v>
      </c>
      <c r="K123" s="51">
        <f t="shared" si="16"/>
        <v>45.37</v>
      </c>
      <c r="L123" s="106">
        <f t="shared" si="10"/>
        <v>9.015940749204028E-05</v>
      </c>
    </row>
    <row r="124" spans="1:12" s="49" customFormat="1" ht="10.5">
      <c r="A124" s="47" t="s">
        <v>189</v>
      </c>
      <c r="B124" s="48"/>
      <c r="C124" s="49" t="s">
        <v>190</v>
      </c>
      <c r="D124" s="50">
        <v>36122148.3</v>
      </c>
      <c r="E124" s="50">
        <f>55000000+3400000</f>
        <v>58400000</v>
      </c>
      <c r="F124" s="50">
        <v>58400000</v>
      </c>
      <c r="G124" s="50">
        <v>58400000</v>
      </c>
      <c r="H124" s="52">
        <v>76267296.49</v>
      </c>
      <c r="I124" s="51">
        <f t="shared" si="14"/>
        <v>211.1372110445602</v>
      </c>
      <c r="J124" s="51">
        <f t="shared" si="15"/>
        <v>130.59468577054793</v>
      </c>
      <c r="K124" s="51">
        <f t="shared" si="16"/>
        <v>130.59468577054793</v>
      </c>
      <c r="L124" s="106">
        <f t="shared" si="10"/>
        <v>0.006062344511843211</v>
      </c>
    </row>
    <row r="125" spans="1:12" s="49" customFormat="1" ht="10.5">
      <c r="A125" s="47" t="s">
        <v>191</v>
      </c>
      <c r="B125" s="48"/>
      <c r="C125" s="49" t="s">
        <v>192</v>
      </c>
      <c r="D125" s="50"/>
      <c r="E125" s="50">
        <f>91500000-20000000+45100000</f>
        <v>116600000</v>
      </c>
      <c r="F125" s="50">
        <v>130240000</v>
      </c>
      <c r="G125" s="50">
        <v>130240000</v>
      </c>
      <c r="H125" s="52">
        <v>69470230.82</v>
      </c>
      <c r="I125" s="51"/>
      <c r="J125" s="51">
        <f t="shared" si="15"/>
        <v>53.34016494164619</v>
      </c>
      <c r="K125" s="51">
        <f t="shared" si="16"/>
        <v>53.34016494164619</v>
      </c>
      <c r="L125" s="106">
        <f t="shared" si="10"/>
        <v>0.005522058495981022</v>
      </c>
    </row>
    <row r="126" spans="1:12" s="49" customFormat="1" ht="10.5">
      <c r="A126" s="47" t="s">
        <v>193</v>
      </c>
      <c r="B126" s="48"/>
      <c r="C126" s="49" t="s">
        <v>194</v>
      </c>
      <c r="D126" s="50">
        <v>12359067.2</v>
      </c>
      <c r="E126" s="50">
        <v>600000</v>
      </c>
      <c r="F126" s="50">
        <v>600000</v>
      </c>
      <c r="G126" s="50">
        <v>600000</v>
      </c>
      <c r="H126" s="50">
        <v>930000</v>
      </c>
      <c r="I126" s="51">
        <f>H126/D126*100</f>
        <v>7.524839738714261</v>
      </c>
      <c r="J126" s="51">
        <f t="shared" si="15"/>
        <v>155</v>
      </c>
      <c r="K126" s="51">
        <f t="shared" si="16"/>
        <v>155</v>
      </c>
      <c r="L126" s="106">
        <f t="shared" si="10"/>
        <v>7.392395765271982E-05</v>
      </c>
    </row>
    <row r="127" spans="1:12" s="49" customFormat="1" ht="11.25" customHeight="1">
      <c r="A127" s="47" t="s">
        <v>195</v>
      </c>
      <c r="B127" s="48"/>
      <c r="C127" s="49" t="s">
        <v>196</v>
      </c>
      <c r="D127" s="50"/>
      <c r="E127" s="50">
        <f>4600000+900000</f>
        <v>5500000</v>
      </c>
      <c r="F127" s="50"/>
      <c r="G127" s="50"/>
      <c r="H127" s="52"/>
      <c r="I127" s="51"/>
      <c r="J127" s="51"/>
      <c r="K127" s="51"/>
      <c r="L127" s="106">
        <f t="shared" si="10"/>
        <v>0</v>
      </c>
    </row>
    <row r="128" spans="1:12" s="49" customFormat="1" ht="11.25" customHeight="1" hidden="1">
      <c r="A128" s="47" t="s">
        <v>197</v>
      </c>
      <c r="B128" s="48"/>
      <c r="C128" s="49" t="s">
        <v>198</v>
      </c>
      <c r="D128" s="50"/>
      <c r="E128" s="50"/>
      <c r="F128" s="50"/>
      <c r="G128" s="50"/>
      <c r="H128" s="52"/>
      <c r="I128" s="51" t="e">
        <f aca="true" t="shared" si="17" ref="I128:I148">H128/D128*100</f>
        <v>#DIV/0!</v>
      </c>
      <c r="J128" s="51" t="e">
        <f aca="true" t="shared" si="18" ref="J128:J148">H128/F128*100</f>
        <v>#DIV/0!</v>
      </c>
      <c r="K128" s="51" t="e">
        <f t="shared" si="16"/>
        <v>#DIV/0!</v>
      </c>
      <c r="L128" s="105">
        <f t="shared" si="10"/>
        <v>0</v>
      </c>
    </row>
    <row r="129" spans="1:12" s="49" customFormat="1" ht="11.25" customHeight="1" hidden="1">
      <c r="A129" s="47" t="s">
        <v>199</v>
      </c>
      <c r="B129" s="48"/>
      <c r="C129" s="49" t="s">
        <v>200</v>
      </c>
      <c r="D129" s="50"/>
      <c r="E129" s="50"/>
      <c r="F129" s="50"/>
      <c r="G129" s="50"/>
      <c r="H129" s="52"/>
      <c r="I129" s="51" t="e">
        <f t="shared" si="17"/>
        <v>#DIV/0!</v>
      </c>
      <c r="J129" s="51" t="e">
        <f t="shared" si="18"/>
        <v>#DIV/0!</v>
      </c>
      <c r="K129" s="51" t="e">
        <f t="shared" si="16"/>
        <v>#DIV/0!</v>
      </c>
      <c r="L129" s="105">
        <f t="shared" si="10"/>
        <v>0</v>
      </c>
    </row>
    <row r="130" spans="1:12" s="43" customFormat="1" ht="12.75" customHeight="1">
      <c r="A130" s="42" t="s">
        <v>201</v>
      </c>
      <c r="C130" s="43" t="s">
        <v>202</v>
      </c>
      <c r="D130" s="44">
        <v>12830752.6</v>
      </c>
      <c r="E130" s="44"/>
      <c r="F130" s="44">
        <v>13800000</v>
      </c>
      <c r="G130" s="44">
        <v>13800000</v>
      </c>
      <c r="H130" s="46">
        <v>10881531.98</v>
      </c>
      <c r="I130" s="45">
        <f t="shared" si="17"/>
        <v>84.80821288690424</v>
      </c>
      <c r="J130" s="45">
        <f t="shared" si="18"/>
        <v>78.85168101449275</v>
      </c>
      <c r="K130" s="45">
        <f t="shared" si="16"/>
        <v>78.85168101449275</v>
      </c>
      <c r="L130" s="105">
        <f t="shared" si="10"/>
        <v>0.0008649525906303618</v>
      </c>
    </row>
    <row r="131" spans="1:12" s="43" customFormat="1" ht="12.75" customHeight="1">
      <c r="A131" s="42" t="s">
        <v>203</v>
      </c>
      <c r="C131" s="43" t="s">
        <v>204</v>
      </c>
      <c r="D131" s="44">
        <f>SUM(D132:D142)</f>
        <v>112260289.29</v>
      </c>
      <c r="E131" s="44">
        <f>SUM(E132:E142)</f>
        <v>112600000</v>
      </c>
      <c r="F131" s="44">
        <f>SUM(F132:F142)</f>
        <v>112600000</v>
      </c>
      <c r="G131" s="44">
        <f>SUM(G132:G142)</f>
        <v>112600000</v>
      </c>
      <c r="H131" s="46">
        <f>SUM(H132:H142)</f>
        <v>114963047.96</v>
      </c>
      <c r="I131" s="45">
        <f t="shared" si="17"/>
        <v>102.40758213531589</v>
      </c>
      <c r="J131" s="45">
        <f t="shared" si="18"/>
        <v>102.09862163410301</v>
      </c>
      <c r="K131" s="45">
        <f t="shared" si="16"/>
        <v>102.09862163410301</v>
      </c>
      <c r="L131" s="105">
        <f t="shared" si="10"/>
        <v>0.009138197300024341</v>
      </c>
    </row>
    <row r="132" spans="1:12" s="49" customFormat="1" ht="12.75" customHeight="1" hidden="1">
      <c r="A132" s="47" t="s">
        <v>205</v>
      </c>
      <c r="B132" s="48"/>
      <c r="C132" s="49" t="s">
        <v>206</v>
      </c>
      <c r="D132" s="50"/>
      <c r="E132" s="50"/>
      <c r="F132" s="50"/>
      <c r="G132" s="50"/>
      <c r="H132" s="52"/>
      <c r="I132" s="51" t="e">
        <f t="shared" si="17"/>
        <v>#DIV/0!</v>
      </c>
      <c r="J132" s="51" t="e">
        <f t="shared" si="18"/>
        <v>#DIV/0!</v>
      </c>
      <c r="K132" s="51" t="e">
        <f t="shared" si="16"/>
        <v>#DIV/0!</v>
      </c>
      <c r="L132" s="105">
        <f t="shared" si="10"/>
        <v>0</v>
      </c>
    </row>
    <row r="133" spans="1:12" s="49" customFormat="1" ht="10.5" hidden="1">
      <c r="A133" s="47" t="s">
        <v>205</v>
      </c>
      <c r="B133" s="48"/>
      <c r="C133" s="49" t="s">
        <v>207</v>
      </c>
      <c r="D133" s="50"/>
      <c r="E133" s="50"/>
      <c r="F133" s="50"/>
      <c r="G133" s="50"/>
      <c r="H133" s="52"/>
      <c r="I133" s="51" t="e">
        <f t="shared" si="17"/>
        <v>#DIV/0!</v>
      </c>
      <c r="J133" s="51" t="e">
        <f t="shared" si="18"/>
        <v>#DIV/0!</v>
      </c>
      <c r="K133" s="51" t="e">
        <f t="shared" si="16"/>
        <v>#DIV/0!</v>
      </c>
      <c r="L133" s="105">
        <f t="shared" si="10"/>
        <v>0</v>
      </c>
    </row>
    <row r="134" spans="1:12" s="49" customFormat="1" ht="10.5">
      <c r="A134" s="47" t="s">
        <v>208</v>
      </c>
      <c r="B134" s="48"/>
      <c r="C134" s="49" t="s">
        <v>209</v>
      </c>
      <c r="D134" s="50">
        <v>57453999.1</v>
      </c>
      <c r="E134" s="50">
        <v>55000000</v>
      </c>
      <c r="F134" s="44">
        <v>55000000</v>
      </c>
      <c r="G134" s="44">
        <v>55000000</v>
      </c>
      <c r="H134" s="52">
        <v>59709061.5</v>
      </c>
      <c r="I134" s="51">
        <f t="shared" si="17"/>
        <v>103.92498770377152</v>
      </c>
      <c r="J134" s="51">
        <f t="shared" si="18"/>
        <v>108.56193</v>
      </c>
      <c r="K134" s="51">
        <f t="shared" si="16"/>
        <v>108.56193</v>
      </c>
      <c r="L134" s="106">
        <f t="shared" si="10"/>
        <v>0.004746161434203917</v>
      </c>
    </row>
    <row r="135" spans="1:12" s="49" customFormat="1" ht="10.5">
      <c r="A135" s="47" t="s">
        <v>210</v>
      </c>
      <c r="B135" s="48"/>
      <c r="C135" s="49" t="s">
        <v>211</v>
      </c>
      <c r="D135" s="50">
        <v>3727399.61</v>
      </c>
      <c r="E135" s="50">
        <v>6000000</v>
      </c>
      <c r="F135" s="44">
        <v>6000000</v>
      </c>
      <c r="G135" s="44">
        <v>6000000</v>
      </c>
      <c r="H135" s="52">
        <v>4583551.26</v>
      </c>
      <c r="I135" s="51">
        <f t="shared" si="17"/>
        <v>122.96914040831805</v>
      </c>
      <c r="J135" s="51">
        <f t="shared" si="18"/>
        <v>76.39252099999999</v>
      </c>
      <c r="K135" s="51">
        <f t="shared" si="16"/>
        <v>76.39252099999999</v>
      </c>
      <c r="L135" s="106">
        <f t="shared" si="10"/>
        <v>0.0003643379024121619</v>
      </c>
    </row>
    <row r="136" spans="1:12" s="49" customFormat="1" ht="10.5">
      <c r="A136" s="47" t="s">
        <v>212</v>
      </c>
      <c r="B136" s="48"/>
      <c r="C136" s="49" t="s">
        <v>213</v>
      </c>
      <c r="D136" s="50">
        <f>35968201.35+1455636</f>
        <v>37423837.35</v>
      </c>
      <c r="E136" s="50">
        <f>35000000+2100000</f>
        <v>37100000</v>
      </c>
      <c r="F136" s="50">
        <v>37100000</v>
      </c>
      <c r="G136" s="50">
        <v>37100000</v>
      </c>
      <c r="H136" s="52">
        <v>33967318.22</v>
      </c>
      <c r="I136" s="51">
        <f t="shared" si="17"/>
        <v>90.76385700997601</v>
      </c>
      <c r="J136" s="51">
        <f t="shared" si="18"/>
        <v>91.55611380053908</v>
      </c>
      <c r="K136" s="51">
        <f t="shared" si="16"/>
        <v>91.55611380053908</v>
      </c>
      <c r="L136" s="106">
        <f t="shared" si="10"/>
        <v>0.0026999984878190732</v>
      </c>
    </row>
    <row r="137" spans="1:12" s="49" customFormat="1" ht="10.5">
      <c r="A137" s="47" t="s">
        <v>214</v>
      </c>
      <c r="B137" s="48"/>
      <c r="C137" s="49" t="s">
        <v>215</v>
      </c>
      <c r="D137" s="50">
        <v>9528951.4</v>
      </c>
      <c r="E137" s="50">
        <f>6000000+2500000</f>
        <v>8500000</v>
      </c>
      <c r="F137" s="50">
        <v>8500000</v>
      </c>
      <c r="G137" s="50">
        <v>8500000</v>
      </c>
      <c r="H137" s="52">
        <v>8598031.5</v>
      </c>
      <c r="I137" s="51">
        <f t="shared" si="17"/>
        <v>90.23061551137725</v>
      </c>
      <c r="J137" s="51">
        <f t="shared" si="18"/>
        <v>101.15331176470588</v>
      </c>
      <c r="K137" s="51">
        <f t="shared" si="16"/>
        <v>101.15331176470588</v>
      </c>
      <c r="L137" s="106">
        <f t="shared" si="10"/>
        <v>0.0006834414155943559</v>
      </c>
    </row>
    <row r="138" spans="1:12" s="49" customFormat="1" ht="10.5" hidden="1">
      <c r="A138" s="47" t="s">
        <v>216</v>
      </c>
      <c r="B138" s="48"/>
      <c r="C138" s="49" t="s">
        <v>217</v>
      </c>
      <c r="D138" s="50"/>
      <c r="E138" s="50"/>
      <c r="F138" s="50"/>
      <c r="G138" s="50"/>
      <c r="H138" s="52"/>
      <c r="I138" s="51" t="e">
        <f t="shared" si="17"/>
        <v>#DIV/0!</v>
      </c>
      <c r="J138" s="51" t="e">
        <f t="shared" si="18"/>
        <v>#DIV/0!</v>
      </c>
      <c r="K138" s="51" t="e">
        <f t="shared" si="16"/>
        <v>#DIV/0!</v>
      </c>
      <c r="L138" s="106">
        <f t="shared" si="10"/>
        <v>0</v>
      </c>
    </row>
    <row r="139" spans="1:12" s="49" customFormat="1" ht="10.5">
      <c r="A139" s="47" t="s">
        <v>218</v>
      </c>
      <c r="B139" s="48"/>
      <c r="C139" s="49" t="s">
        <v>219</v>
      </c>
      <c r="D139" s="50">
        <v>4126101.83</v>
      </c>
      <c r="E139" s="50">
        <v>6000000</v>
      </c>
      <c r="F139" s="50">
        <v>6000000</v>
      </c>
      <c r="G139" s="50">
        <v>6000000</v>
      </c>
      <c r="H139" s="52">
        <v>8105085.48</v>
      </c>
      <c r="I139" s="51">
        <f t="shared" si="17"/>
        <v>196.4344510615241</v>
      </c>
      <c r="J139" s="51">
        <f t="shared" si="18"/>
        <v>135.08475800000002</v>
      </c>
      <c r="K139" s="51">
        <f t="shared" si="16"/>
        <v>135.08475800000002</v>
      </c>
      <c r="L139" s="106">
        <f aca="true" t="shared" si="19" ref="L139:L202">H139/$H$7</f>
        <v>0.0006442580599948325</v>
      </c>
    </row>
    <row r="140" spans="1:12" s="49" customFormat="1" ht="10.5" hidden="1">
      <c r="A140" s="47" t="s">
        <v>220</v>
      </c>
      <c r="B140" s="48"/>
      <c r="C140" s="49" t="s">
        <v>221</v>
      </c>
      <c r="D140" s="50"/>
      <c r="E140" s="50"/>
      <c r="F140" s="50"/>
      <c r="G140" s="50"/>
      <c r="H140" s="52"/>
      <c r="I140" s="51" t="e">
        <f t="shared" si="17"/>
        <v>#DIV/0!</v>
      </c>
      <c r="J140" s="51" t="e">
        <f t="shared" si="18"/>
        <v>#DIV/0!</v>
      </c>
      <c r="K140" s="51" t="e">
        <f t="shared" si="16"/>
        <v>#DIV/0!</v>
      </c>
      <c r="L140" s="106">
        <f t="shared" si="19"/>
        <v>0</v>
      </c>
    </row>
    <row r="141" spans="1:12" s="49" customFormat="1" ht="10.5" hidden="1">
      <c r="A141" s="47" t="s">
        <v>222</v>
      </c>
      <c r="B141" s="48"/>
      <c r="C141" s="49" t="s">
        <v>223</v>
      </c>
      <c r="D141" s="50"/>
      <c r="E141" s="50"/>
      <c r="F141" s="50"/>
      <c r="G141" s="50"/>
      <c r="H141" s="52"/>
      <c r="I141" s="51" t="e">
        <f t="shared" si="17"/>
        <v>#DIV/0!</v>
      </c>
      <c r="J141" s="51" t="e">
        <f t="shared" si="18"/>
        <v>#DIV/0!</v>
      </c>
      <c r="K141" s="51" t="e">
        <f t="shared" si="16"/>
        <v>#DIV/0!</v>
      </c>
      <c r="L141" s="106">
        <f t="shared" si="19"/>
        <v>0</v>
      </c>
    </row>
    <row r="142" spans="1:12" s="49" customFormat="1" ht="10.5" hidden="1">
      <c r="A142" s="47" t="s">
        <v>224</v>
      </c>
      <c r="B142" s="48"/>
      <c r="C142" s="49" t="s">
        <v>225</v>
      </c>
      <c r="D142" s="50"/>
      <c r="E142" s="50"/>
      <c r="F142" s="50"/>
      <c r="G142" s="50"/>
      <c r="H142" s="52"/>
      <c r="I142" s="51" t="e">
        <f t="shared" si="17"/>
        <v>#DIV/0!</v>
      </c>
      <c r="J142" s="51" t="e">
        <f t="shared" si="18"/>
        <v>#DIV/0!</v>
      </c>
      <c r="K142" s="51" t="e">
        <f t="shared" si="16"/>
        <v>#DIV/0!</v>
      </c>
      <c r="L142" s="106">
        <f t="shared" si="19"/>
        <v>0</v>
      </c>
    </row>
    <row r="143" spans="1:12" s="43" customFormat="1" ht="12.75" customHeight="1" hidden="1">
      <c r="A143" s="42">
        <v>710309</v>
      </c>
      <c r="B143" s="55"/>
      <c r="C143" s="43" t="s">
        <v>226</v>
      </c>
      <c r="D143" s="44"/>
      <c r="E143" s="44"/>
      <c r="F143" s="50"/>
      <c r="G143" s="50"/>
      <c r="H143" s="46"/>
      <c r="I143" s="45" t="e">
        <f t="shared" si="17"/>
        <v>#DIV/0!</v>
      </c>
      <c r="J143" s="45" t="e">
        <f t="shared" si="18"/>
        <v>#DIV/0!</v>
      </c>
      <c r="K143" s="45" t="e">
        <f t="shared" si="16"/>
        <v>#DIV/0!</v>
      </c>
      <c r="L143" s="105">
        <f t="shared" si="19"/>
        <v>0</v>
      </c>
    </row>
    <row r="144" spans="1:12" s="43" customFormat="1" ht="12.75" customHeight="1" hidden="1">
      <c r="A144" s="42">
        <v>710310</v>
      </c>
      <c r="B144" s="55"/>
      <c r="C144" s="43" t="s">
        <v>227</v>
      </c>
      <c r="D144" s="44"/>
      <c r="E144" s="44"/>
      <c r="F144" s="50"/>
      <c r="G144" s="50"/>
      <c r="H144" s="46"/>
      <c r="I144" s="45" t="e">
        <f t="shared" si="17"/>
        <v>#DIV/0!</v>
      </c>
      <c r="J144" s="45" t="e">
        <f t="shared" si="18"/>
        <v>#DIV/0!</v>
      </c>
      <c r="K144" s="45" t="e">
        <f t="shared" si="16"/>
        <v>#DIV/0!</v>
      </c>
      <c r="L144" s="105">
        <f t="shared" si="19"/>
        <v>0</v>
      </c>
    </row>
    <row r="145" spans="1:12" s="43" customFormat="1" ht="12.75" customHeight="1">
      <c r="A145" s="42" t="s">
        <v>228</v>
      </c>
      <c r="C145" s="43" t="s">
        <v>229</v>
      </c>
      <c r="D145" s="44">
        <f>SUM(D146:D148)</f>
        <v>96325612.71000001</v>
      </c>
      <c r="E145" s="44">
        <f>SUM(E146:E148)</f>
        <v>90000000</v>
      </c>
      <c r="F145" s="44">
        <f>SUM(F146:F148)</f>
        <v>107135000</v>
      </c>
      <c r="G145" s="44">
        <f>SUM(G146:G148)</f>
        <v>114135000</v>
      </c>
      <c r="H145" s="46">
        <f>SUM(H146:H148)</f>
        <v>126114108.32</v>
      </c>
      <c r="I145" s="45">
        <f t="shared" si="17"/>
        <v>130.9247922457362</v>
      </c>
      <c r="J145" s="45">
        <f t="shared" si="18"/>
        <v>117.71513354179307</v>
      </c>
      <c r="K145" s="45">
        <f t="shared" si="16"/>
        <v>110.49556080080605</v>
      </c>
      <c r="L145" s="105">
        <f t="shared" si="19"/>
        <v>0.01002457419662172</v>
      </c>
    </row>
    <row r="146" spans="1:12" s="58" customFormat="1" ht="12.75" customHeight="1">
      <c r="A146" s="56" t="s">
        <v>230</v>
      </c>
      <c r="B146" s="57"/>
      <c r="C146" s="58" t="s">
        <v>231</v>
      </c>
      <c r="D146" s="59">
        <f>85366097.15</f>
        <v>85366097.15</v>
      </c>
      <c r="E146" s="59">
        <v>90000000</v>
      </c>
      <c r="F146" s="59">
        <f>85000000</f>
        <v>85000000</v>
      </c>
      <c r="G146" s="59">
        <f>85000000+7000000</f>
        <v>92000000</v>
      </c>
      <c r="H146" s="61">
        <v>101455096.99</v>
      </c>
      <c r="I146" s="60">
        <f t="shared" si="17"/>
        <v>118.84706034027701</v>
      </c>
      <c r="J146" s="60">
        <f t="shared" si="18"/>
        <v>119.3589376352941</v>
      </c>
      <c r="K146" s="60">
        <f t="shared" si="16"/>
        <v>110.27727933695652</v>
      </c>
      <c r="L146" s="106">
        <f t="shared" si="19"/>
        <v>0.008064475584453055</v>
      </c>
    </row>
    <row r="147" spans="1:12" s="58" customFormat="1" ht="10.5">
      <c r="A147" s="56" t="s">
        <v>232</v>
      </c>
      <c r="B147" s="57"/>
      <c r="C147" s="58" t="s">
        <v>196</v>
      </c>
      <c r="D147" s="59">
        <v>5155000</v>
      </c>
      <c r="E147" s="59"/>
      <c r="F147" s="59">
        <v>5500000</v>
      </c>
      <c r="G147" s="59">
        <v>5500000</v>
      </c>
      <c r="H147" s="61">
        <v>5669000</v>
      </c>
      <c r="I147" s="60">
        <f t="shared" si="17"/>
        <v>109.97090203685742</v>
      </c>
      <c r="J147" s="60">
        <f t="shared" si="18"/>
        <v>103.07272727272728</v>
      </c>
      <c r="K147" s="60">
        <f t="shared" si="16"/>
        <v>103.07272727272728</v>
      </c>
      <c r="L147" s="106">
        <f t="shared" si="19"/>
        <v>0.00045061818917555767</v>
      </c>
    </row>
    <row r="148" spans="1:12" s="58" customFormat="1" ht="10.5">
      <c r="A148" s="56" t="s">
        <v>233</v>
      </c>
      <c r="B148" s="57"/>
      <c r="C148" s="58" t="s">
        <v>234</v>
      </c>
      <c r="D148" s="50">
        <v>5804515.56</v>
      </c>
      <c r="E148" s="50"/>
      <c r="F148" s="59">
        <v>16635000</v>
      </c>
      <c r="G148" s="59">
        <v>16635000</v>
      </c>
      <c r="H148" s="61">
        <v>18990011.33</v>
      </c>
      <c r="I148" s="60">
        <f t="shared" si="17"/>
        <v>327.15928028281485</v>
      </c>
      <c r="J148" s="60">
        <f t="shared" si="18"/>
        <v>114.15696621581002</v>
      </c>
      <c r="K148" s="60">
        <f t="shared" si="16"/>
        <v>114.15696621581002</v>
      </c>
      <c r="L148" s="106">
        <f t="shared" si="19"/>
        <v>0.0015094804229931068</v>
      </c>
    </row>
    <row r="149" spans="1:12" ht="12.75" customHeight="1">
      <c r="A149" s="34"/>
      <c r="C149" s="43"/>
      <c r="D149" s="16"/>
      <c r="E149" s="16"/>
      <c r="H149" s="32"/>
      <c r="I149" s="31"/>
      <c r="J149" s="31"/>
      <c r="K149" s="31"/>
      <c r="L149" s="103"/>
    </row>
    <row r="150" spans="1:12" s="37" customFormat="1" ht="12.75">
      <c r="A150" s="36">
        <v>711</v>
      </c>
      <c r="C150" s="37" t="s">
        <v>235</v>
      </c>
      <c r="D150" s="38">
        <f>D151</f>
        <v>46482</v>
      </c>
      <c r="E150" s="38">
        <f>E151</f>
        <v>500000</v>
      </c>
      <c r="F150" s="38">
        <f>F151</f>
        <v>500000</v>
      </c>
      <c r="G150" s="38">
        <f>G151</f>
        <v>500000</v>
      </c>
      <c r="H150" s="41">
        <f>H151</f>
        <v>50797918.24</v>
      </c>
      <c r="I150" s="40"/>
      <c r="J150" s="40">
        <f>H150/F150*100</f>
        <v>10159.583648</v>
      </c>
      <c r="K150" s="40">
        <f>+H150/$G150*100</f>
        <v>10159.583648</v>
      </c>
      <c r="L150" s="104">
        <f t="shared" si="19"/>
        <v>0.004037831351419445</v>
      </c>
    </row>
    <row r="151" spans="1:12" s="37" customFormat="1" ht="12.75">
      <c r="A151" s="36">
        <v>7111</v>
      </c>
      <c r="C151" s="37" t="s">
        <v>236</v>
      </c>
      <c r="D151" s="38">
        <f>SUM(D152:D153)</f>
        <v>46482</v>
      </c>
      <c r="E151" s="38">
        <f>SUM(E152:E153)</f>
        <v>500000</v>
      </c>
      <c r="F151" s="38">
        <f>SUM(F152:F153)</f>
        <v>500000</v>
      </c>
      <c r="G151" s="38">
        <f>SUM(G152:G153)</f>
        <v>500000</v>
      </c>
      <c r="H151" s="41">
        <f>SUM(H152:H153)</f>
        <v>50797918.24</v>
      </c>
      <c r="I151" s="40"/>
      <c r="J151" s="40">
        <f>H151/F151*100</f>
        <v>10159.583648</v>
      </c>
      <c r="K151" s="40">
        <f>+H151/$G151*100</f>
        <v>10159.583648</v>
      </c>
      <c r="L151" s="104">
        <f t="shared" si="19"/>
        <v>0.004037831351419445</v>
      </c>
    </row>
    <row r="152" spans="1:12" s="43" customFormat="1" ht="12.75" customHeight="1">
      <c r="A152" s="42" t="s">
        <v>237</v>
      </c>
      <c r="C152" s="43" t="s">
        <v>236</v>
      </c>
      <c r="D152" s="44">
        <v>46482</v>
      </c>
      <c r="E152" s="44">
        <v>500000</v>
      </c>
      <c r="F152" s="44">
        <v>500000</v>
      </c>
      <c r="G152" s="44">
        <v>500000</v>
      </c>
      <c r="H152" s="46">
        <f>47927759.74+2870158.5</f>
        <v>50797918.24</v>
      </c>
      <c r="I152" s="45"/>
      <c r="J152" s="45">
        <f>H152/F152*100</f>
        <v>10159.583648</v>
      </c>
      <c r="K152" s="45">
        <f>+H152/$G152*100</f>
        <v>10159.583648</v>
      </c>
      <c r="L152" s="105">
        <f t="shared" si="19"/>
        <v>0.004037831351419445</v>
      </c>
    </row>
    <row r="153" spans="1:12" s="43" customFormat="1" ht="12.75" customHeight="1" hidden="1">
      <c r="A153" s="42" t="s">
        <v>238</v>
      </c>
      <c r="C153" s="43" t="s">
        <v>239</v>
      </c>
      <c r="D153" s="44"/>
      <c r="E153" s="44"/>
      <c r="F153" s="44"/>
      <c r="G153" s="44"/>
      <c r="H153" s="46"/>
      <c r="I153" s="45"/>
      <c r="J153" s="45" t="e">
        <f>H153/F153*100</f>
        <v>#DIV/0!</v>
      </c>
      <c r="K153" s="45" t="e">
        <f>+H153/$G153*100</f>
        <v>#DIV/0!</v>
      </c>
      <c r="L153" s="105">
        <f t="shared" si="19"/>
        <v>0</v>
      </c>
    </row>
    <row r="154" spans="1:12" ht="12.75" customHeight="1">
      <c r="A154" s="34"/>
      <c r="D154" s="16"/>
      <c r="E154" s="16"/>
      <c r="H154" s="32"/>
      <c r="I154" s="31"/>
      <c r="J154" s="31"/>
      <c r="K154" s="31"/>
      <c r="L154" s="103"/>
    </row>
    <row r="155" spans="1:12" s="37" customFormat="1" ht="12.75">
      <c r="A155" s="36">
        <v>712</v>
      </c>
      <c r="C155" s="37" t="s">
        <v>240</v>
      </c>
      <c r="D155" s="38">
        <f>D156</f>
        <v>35677339</v>
      </c>
      <c r="E155" s="38">
        <f>E156</f>
        <v>38300000</v>
      </c>
      <c r="F155" s="38">
        <f>F156</f>
        <v>38300000</v>
      </c>
      <c r="G155" s="38">
        <f>G156</f>
        <v>38300000</v>
      </c>
      <c r="H155" s="41">
        <f>H156</f>
        <v>39535857.199999996</v>
      </c>
      <c r="I155" s="40">
        <f>H155/D155*100</f>
        <v>110.81503920457743</v>
      </c>
      <c r="J155" s="40">
        <f>H155/F155*100</f>
        <v>103.22678120104439</v>
      </c>
      <c r="K155" s="40">
        <f>+H155/$G155*100</f>
        <v>103.22678120104439</v>
      </c>
      <c r="L155" s="104">
        <f t="shared" si="19"/>
        <v>0.0031426312187277177</v>
      </c>
    </row>
    <row r="156" spans="1:12" s="37" customFormat="1" ht="12.75">
      <c r="A156" s="36">
        <v>7120</v>
      </c>
      <c r="C156" s="37" t="s">
        <v>241</v>
      </c>
      <c r="D156" s="38">
        <f>SUM(D157:D159)</f>
        <v>35677339</v>
      </c>
      <c r="E156" s="38">
        <f>SUM(E157:E159)</f>
        <v>38300000</v>
      </c>
      <c r="F156" s="38">
        <f>SUM(F157:F160)</f>
        <v>38300000</v>
      </c>
      <c r="G156" s="38">
        <f>SUM(G157:G160)</f>
        <v>38300000</v>
      </c>
      <c r="H156" s="41">
        <f>SUM(H157:H159)</f>
        <v>39535857.199999996</v>
      </c>
      <c r="I156" s="40">
        <f>H156/D156*100</f>
        <v>110.81503920457743</v>
      </c>
      <c r="J156" s="40">
        <f>H156/F156*100</f>
        <v>103.22678120104439</v>
      </c>
      <c r="K156" s="40">
        <f>+H156/$G156*100</f>
        <v>103.22678120104439</v>
      </c>
      <c r="L156" s="104">
        <f t="shared" si="19"/>
        <v>0.0031426312187277177</v>
      </c>
    </row>
    <row r="157" spans="1:12" s="43" customFormat="1" ht="12.75" customHeight="1">
      <c r="A157" s="42" t="s">
        <v>242</v>
      </c>
      <c r="C157" s="43" t="s">
        <v>243</v>
      </c>
      <c r="D157" s="44">
        <v>34191969</v>
      </c>
      <c r="E157" s="44">
        <v>37000000</v>
      </c>
      <c r="F157" s="44">
        <v>37000000</v>
      </c>
      <c r="G157" s="44">
        <v>37000000</v>
      </c>
      <c r="H157" s="46">
        <v>38651376.8</v>
      </c>
      <c r="I157" s="45">
        <f>H157/D157*100</f>
        <v>113.04226673813373</v>
      </c>
      <c r="J157" s="45">
        <f>H157/F157*100</f>
        <v>104.46318054054053</v>
      </c>
      <c r="K157" s="45">
        <f>+H157/$G157*100</f>
        <v>104.46318054054053</v>
      </c>
      <c r="L157" s="105">
        <f t="shared" si="19"/>
        <v>0.003072325528798405</v>
      </c>
    </row>
    <row r="158" spans="1:12" s="43" customFormat="1" ht="12.75" customHeight="1">
      <c r="A158" s="42" t="s">
        <v>244</v>
      </c>
      <c r="C158" s="43" t="s">
        <v>245</v>
      </c>
      <c r="D158" s="44">
        <v>459535</v>
      </c>
      <c r="E158" s="44">
        <v>200000</v>
      </c>
      <c r="F158" s="44">
        <v>200000</v>
      </c>
      <c r="G158" s="44">
        <v>200000</v>
      </c>
      <c r="H158" s="46">
        <v>19927.8</v>
      </c>
      <c r="I158" s="45">
        <f>H158/D158*100</f>
        <v>4.336514084890161</v>
      </c>
      <c r="J158" s="45">
        <f>H158/F158*100</f>
        <v>9.963899999999999</v>
      </c>
      <c r="K158" s="45">
        <f>+H158/$G158*100</f>
        <v>9.963899999999999</v>
      </c>
      <c r="L158" s="105">
        <f t="shared" si="19"/>
        <v>1.5840234874321183E-06</v>
      </c>
    </row>
    <row r="159" spans="1:12" s="43" customFormat="1" ht="12.75" customHeight="1">
      <c r="A159" s="42" t="s">
        <v>246</v>
      </c>
      <c r="C159" s="43" t="s">
        <v>247</v>
      </c>
      <c r="D159" s="44">
        <v>1025835</v>
      </c>
      <c r="E159" s="44">
        <v>1100000</v>
      </c>
      <c r="F159" s="44">
        <v>1100000</v>
      </c>
      <c r="G159" s="44">
        <v>1100000</v>
      </c>
      <c r="H159" s="46">
        <v>864552.6</v>
      </c>
      <c r="I159" s="45">
        <f>H159/D159*100</f>
        <v>84.27793943470441</v>
      </c>
      <c r="J159" s="45">
        <f>H159/F159*100</f>
        <v>78.5956909090909</v>
      </c>
      <c r="K159" s="45">
        <f>+H159/$G159*100</f>
        <v>78.5956909090909</v>
      </c>
      <c r="L159" s="105">
        <f t="shared" si="19"/>
        <v>6.872166644188045E-05</v>
      </c>
    </row>
    <row r="160" spans="1:12" ht="12.75" customHeight="1">
      <c r="A160" s="34"/>
      <c r="D160" s="16"/>
      <c r="E160" s="16"/>
      <c r="H160" s="32"/>
      <c r="I160" s="31"/>
      <c r="J160" s="31"/>
      <c r="K160" s="31"/>
      <c r="L160" s="103"/>
    </row>
    <row r="161" spans="1:12" s="37" customFormat="1" ht="12.75">
      <c r="A161" s="36">
        <v>713</v>
      </c>
      <c r="C161" s="37" t="s">
        <v>248</v>
      </c>
      <c r="D161" s="38">
        <f>D162</f>
        <v>28107664.060000002</v>
      </c>
      <c r="E161" s="38">
        <f>E162</f>
        <v>22000000</v>
      </c>
      <c r="F161" s="38">
        <f>F162</f>
        <v>27000000</v>
      </c>
      <c r="G161" s="38">
        <f>G162</f>
        <v>27000000</v>
      </c>
      <c r="H161" s="41">
        <f>H162</f>
        <v>20408989.04</v>
      </c>
      <c r="I161" s="40">
        <f aca="true" t="shared" si="20" ref="I161:I174">H161/D161*100</f>
        <v>72.61005039918639</v>
      </c>
      <c r="J161" s="40">
        <f aca="true" t="shared" si="21" ref="J161:J174">H161/F161*100</f>
        <v>75.58884829629629</v>
      </c>
      <c r="K161" s="40">
        <f aca="true" t="shared" si="22" ref="K161:K181">+H161/$G161*100</f>
        <v>75.58884829629629</v>
      </c>
      <c r="L161" s="104">
        <f t="shared" si="19"/>
        <v>0.001622272302718046</v>
      </c>
    </row>
    <row r="162" spans="1:12" s="37" customFormat="1" ht="12.75">
      <c r="A162" s="36">
        <v>7130</v>
      </c>
      <c r="C162" s="37" t="s">
        <v>249</v>
      </c>
      <c r="D162" s="38">
        <f>D163+D172+D173</f>
        <v>28107664.060000002</v>
      </c>
      <c r="E162" s="38">
        <f>E163+E172+E173</f>
        <v>22000000</v>
      </c>
      <c r="F162" s="38">
        <f>F163+F172+F173</f>
        <v>27000000</v>
      </c>
      <c r="G162" s="38">
        <f>G163+G172+G173</f>
        <v>27000000</v>
      </c>
      <c r="H162" s="41">
        <f>H163+H172+H173</f>
        <v>20408989.04</v>
      </c>
      <c r="I162" s="40">
        <f t="shared" si="20"/>
        <v>72.61005039918639</v>
      </c>
      <c r="J162" s="40">
        <f t="shared" si="21"/>
        <v>75.58884829629629</v>
      </c>
      <c r="K162" s="40">
        <f t="shared" si="22"/>
        <v>75.58884829629629</v>
      </c>
      <c r="L162" s="104">
        <f t="shared" si="19"/>
        <v>0.001622272302718046</v>
      </c>
    </row>
    <row r="163" spans="1:12" s="43" customFormat="1" ht="10.5" hidden="1">
      <c r="A163" s="42" t="s">
        <v>250</v>
      </c>
      <c r="C163" s="43" t="s">
        <v>249</v>
      </c>
      <c r="D163" s="44">
        <f>SUM(D164:D171)</f>
        <v>0</v>
      </c>
      <c r="E163" s="44">
        <f>SUM(E164:E171)</f>
        <v>0</v>
      </c>
      <c r="F163" s="44">
        <f>SUM(F168:F171)</f>
        <v>0</v>
      </c>
      <c r="G163" s="44">
        <f>SUM(G168:G171)</f>
        <v>0</v>
      </c>
      <c r="H163" s="46">
        <f>SUM(H164:H171)</f>
        <v>0</v>
      </c>
      <c r="I163" s="45" t="e">
        <f t="shared" si="20"/>
        <v>#DIV/0!</v>
      </c>
      <c r="J163" s="45" t="e">
        <f t="shared" si="21"/>
        <v>#DIV/0!</v>
      </c>
      <c r="K163" s="45" t="e">
        <f t="shared" si="22"/>
        <v>#DIV/0!</v>
      </c>
      <c r="L163" s="105">
        <f t="shared" si="19"/>
        <v>0</v>
      </c>
    </row>
    <row r="164" spans="1:12" s="49" customFormat="1" ht="12.75" hidden="1">
      <c r="A164" s="47"/>
      <c r="B164" s="48" t="s">
        <v>251</v>
      </c>
      <c r="D164" s="50"/>
      <c r="E164" s="50"/>
      <c r="F164" s="16"/>
      <c r="G164" s="16"/>
      <c r="H164" s="52"/>
      <c r="I164" s="51" t="e">
        <f t="shared" si="20"/>
        <v>#DIV/0!</v>
      </c>
      <c r="J164" s="51" t="e">
        <f t="shared" si="21"/>
        <v>#DIV/0!</v>
      </c>
      <c r="K164" s="51" t="e">
        <f t="shared" si="22"/>
        <v>#DIV/0!</v>
      </c>
      <c r="L164" s="106">
        <f t="shared" si="19"/>
        <v>0</v>
      </c>
    </row>
    <row r="165" spans="1:12" s="49" customFormat="1" ht="10.5" hidden="1">
      <c r="A165" s="47"/>
      <c r="B165" s="48" t="s">
        <v>252</v>
      </c>
      <c r="D165" s="50"/>
      <c r="E165" s="50"/>
      <c r="H165" s="52"/>
      <c r="I165" s="51" t="e">
        <f t="shared" si="20"/>
        <v>#DIV/0!</v>
      </c>
      <c r="J165" s="51" t="e">
        <f t="shared" si="21"/>
        <v>#DIV/0!</v>
      </c>
      <c r="K165" s="51" t="e">
        <f t="shared" si="22"/>
        <v>#DIV/0!</v>
      </c>
      <c r="L165" s="106">
        <f t="shared" si="19"/>
        <v>0</v>
      </c>
    </row>
    <row r="166" spans="1:12" s="49" customFormat="1" ht="10.5" hidden="1">
      <c r="A166" s="47"/>
      <c r="B166" s="48" t="s">
        <v>253</v>
      </c>
      <c r="D166" s="50"/>
      <c r="E166" s="50"/>
      <c r="H166" s="52"/>
      <c r="I166" s="51" t="e">
        <f t="shared" si="20"/>
        <v>#DIV/0!</v>
      </c>
      <c r="J166" s="51" t="e">
        <f t="shared" si="21"/>
        <v>#DIV/0!</v>
      </c>
      <c r="K166" s="51" t="e">
        <f t="shared" si="22"/>
        <v>#DIV/0!</v>
      </c>
      <c r="L166" s="106">
        <f t="shared" si="19"/>
        <v>0</v>
      </c>
    </row>
    <row r="167" spans="1:12" s="49" customFormat="1" ht="10.5" hidden="1">
      <c r="A167" s="47"/>
      <c r="B167" s="48" t="s">
        <v>254</v>
      </c>
      <c r="D167" s="50"/>
      <c r="E167" s="50"/>
      <c r="H167" s="52"/>
      <c r="I167" s="51" t="e">
        <f t="shared" si="20"/>
        <v>#DIV/0!</v>
      </c>
      <c r="J167" s="51" t="e">
        <f t="shared" si="21"/>
        <v>#DIV/0!</v>
      </c>
      <c r="K167" s="51" t="e">
        <f t="shared" si="22"/>
        <v>#DIV/0!</v>
      </c>
      <c r="L167" s="106">
        <f t="shared" si="19"/>
        <v>0</v>
      </c>
    </row>
    <row r="168" spans="1:12" s="49" customFormat="1" ht="10.5" hidden="1">
      <c r="A168" s="47"/>
      <c r="B168" s="48" t="s">
        <v>255</v>
      </c>
      <c r="D168" s="50"/>
      <c r="E168" s="50"/>
      <c r="F168" s="50"/>
      <c r="G168" s="50"/>
      <c r="H168" s="52"/>
      <c r="I168" s="51" t="e">
        <f t="shared" si="20"/>
        <v>#DIV/0!</v>
      </c>
      <c r="J168" s="51" t="e">
        <f t="shared" si="21"/>
        <v>#DIV/0!</v>
      </c>
      <c r="K168" s="51" t="e">
        <f t="shared" si="22"/>
        <v>#DIV/0!</v>
      </c>
      <c r="L168" s="106">
        <f t="shared" si="19"/>
        <v>0</v>
      </c>
    </row>
    <row r="169" spans="1:12" s="49" customFormat="1" ht="10.5" hidden="1">
      <c r="A169" s="47"/>
      <c r="B169" s="48" t="s">
        <v>256</v>
      </c>
      <c r="D169" s="50"/>
      <c r="E169" s="50"/>
      <c r="F169" s="50"/>
      <c r="G169" s="50"/>
      <c r="H169" s="52"/>
      <c r="I169" s="51" t="e">
        <f t="shared" si="20"/>
        <v>#DIV/0!</v>
      </c>
      <c r="J169" s="51" t="e">
        <f t="shared" si="21"/>
        <v>#DIV/0!</v>
      </c>
      <c r="K169" s="51" t="e">
        <f t="shared" si="22"/>
        <v>#DIV/0!</v>
      </c>
      <c r="L169" s="106">
        <f t="shared" si="19"/>
        <v>0</v>
      </c>
    </row>
    <row r="170" spans="1:12" s="49" customFormat="1" ht="10.5" hidden="1">
      <c r="A170" s="47"/>
      <c r="B170" s="48" t="s">
        <v>257</v>
      </c>
      <c r="D170" s="50"/>
      <c r="E170" s="50"/>
      <c r="F170" s="50"/>
      <c r="G170" s="50"/>
      <c r="H170" s="52"/>
      <c r="I170" s="51" t="e">
        <f t="shared" si="20"/>
        <v>#DIV/0!</v>
      </c>
      <c r="J170" s="51" t="e">
        <f t="shared" si="21"/>
        <v>#DIV/0!</v>
      </c>
      <c r="K170" s="51" t="e">
        <f t="shared" si="22"/>
        <v>#DIV/0!</v>
      </c>
      <c r="L170" s="106">
        <f t="shared" si="19"/>
        <v>0</v>
      </c>
    </row>
    <row r="171" spans="1:12" s="49" customFormat="1" ht="10.5" hidden="1">
      <c r="A171" s="47"/>
      <c r="B171" s="48" t="s">
        <v>258</v>
      </c>
      <c r="D171" s="50"/>
      <c r="E171" s="50"/>
      <c r="F171" s="50"/>
      <c r="G171" s="50"/>
      <c r="H171" s="52"/>
      <c r="I171" s="51" t="e">
        <f t="shared" si="20"/>
        <v>#DIV/0!</v>
      </c>
      <c r="J171" s="51" t="e">
        <f t="shared" si="21"/>
        <v>#DIV/0!</v>
      </c>
      <c r="K171" s="51" t="e">
        <f t="shared" si="22"/>
        <v>#DIV/0!</v>
      </c>
      <c r="L171" s="106">
        <f t="shared" si="19"/>
        <v>0</v>
      </c>
    </row>
    <row r="172" spans="1:12" s="43" customFormat="1" ht="12.75" customHeight="1">
      <c r="A172" s="42" t="s">
        <v>259</v>
      </c>
      <c r="C172" s="43" t="s">
        <v>260</v>
      </c>
      <c r="D172" s="44">
        <v>1102205.13</v>
      </c>
      <c r="E172" s="44">
        <v>1300000</v>
      </c>
      <c r="F172" s="44">
        <v>1300000</v>
      </c>
      <c r="G172" s="44">
        <v>1300000</v>
      </c>
      <c r="H172" s="46">
        <v>1009500</v>
      </c>
      <c r="I172" s="45">
        <f t="shared" si="20"/>
        <v>91.58912189058674</v>
      </c>
      <c r="J172" s="45">
        <f t="shared" si="21"/>
        <v>77.65384615384615</v>
      </c>
      <c r="K172" s="45">
        <f t="shared" si="22"/>
        <v>77.65384615384615</v>
      </c>
      <c r="L172" s="105">
        <f t="shared" si="19"/>
        <v>8.024326371012974E-05</v>
      </c>
    </row>
    <row r="173" spans="1:12" s="43" customFormat="1" ht="12.75" customHeight="1">
      <c r="A173" s="42" t="s">
        <v>261</v>
      </c>
      <c r="C173" s="43" t="s">
        <v>262</v>
      </c>
      <c r="D173" s="44">
        <f>SUM(D174:D186)</f>
        <v>27005458.930000003</v>
      </c>
      <c r="E173" s="44">
        <f>SUM(E174:E186)</f>
        <v>20700000</v>
      </c>
      <c r="F173" s="44">
        <f>SUM(F174:F186)</f>
        <v>25700000</v>
      </c>
      <c r="G173" s="44">
        <f>SUM(G174:G186)</f>
        <v>25700000</v>
      </c>
      <c r="H173" s="46">
        <f>SUM(H174:H187)</f>
        <v>19399489.04</v>
      </c>
      <c r="I173" s="45">
        <f t="shared" si="20"/>
        <v>71.83543553281136</v>
      </c>
      <c r="J173" s="45">
        <f t="shared" si="21"/>
        <v>75.48439315175098</v>
      </c>
      <c r="K173" s="45">
        <f t="shared" si="22"/>
        <v>75.48439315175098</v>
      </c>
      <c r="L173" s="105">
        <f t="shared" si="19"/>
        <v>0.0015420290390079164</v>
      </c>
    </row>
    <row r="174" spans="1:12" s="49" customFormat="1" ht="12.75" customHeight="1">
      <c r="A174" s="47" t="s">
        <v>263</v>
      </c>
      <c r="B174" s="48"/>
      <c r="C174" s="49" t="s">
        <v>264</v>
      </c>
      <c r="D174" s="50">
        <v>6971546.19</v>
      </c>
      <c r="E174" s="50">
        <v>10700000</v>
      </c>
      <c r="F174" s="50">
        <v>10700000</v>
      </c>
      <c r="G174" s="50">
        <v>10700000</v>
      </c>
      <c r="H174" s="52">
        <v>9542738.53</v>
      </c>
      <c r="I174" s="51">
        <f t="shared" si="20"/>
        <v>136.88123509370308</v>
      </c>
      <c r="J174" s="51">
        <f t="shared" si="21"/>
        <v>89.18447224299065</v>
      </c>
      <c r="K174" s="51">
        <f t="shared" si="22"/>
        <v>89.18447224299065</v>
      </c>
      <c r="L174" s="106">
        <f t="shared" si="19"/>
        <v>0.0007585344075082771</v>
      </c>
    </row>
    <row r="175" spans="1:12" s="49" customFormat="1" ht="10.5">
      <c r="A175" s="47" t="s">
        <v>265</v>
      </c>
      <c r="B175" s="48"/>
      <c r="C175" s="49" t="s">
        <v>266</v>
      </c>
      <c r="D175" s="50">
        <v>249150.4</v>
      </c>
      <c r="E175" s="50"/>
      <c r="F175" s="50"/>
      <c r="G175" s="50"/>
      <c r="H175" s="52"/>
      <c r="I175" s="51"/>
      <c r="J175" s="51"/>
      <c r="K175" s="51"/>
      <c r="L175" s="106">
        <f t="shared" si="19"/>
        <v>0</v>
      </c>
    </row>
    <row r="176" spans="1:12" s="49" customFormat="1" ht="10.5">
      <c r="A176" s="47" t="s">
        <v>267</v>
      </c>
      <c r="B176" s="48"/>
      <c r="C176" s="49" t="s">
        <v>268</v>
      </c>
      <c r="D176" s="50">
        <v>4609523.53</v>
      </c>
      <c r="E176" s="50"/>
      <c r="F176" s="50">
        <v>5000000</v>
      </c>
      <c r="G176" s="50">
        <v>5000000</v>
      </c>
      <c r="H176" s="52">
        <v>3427003.86</v>
      </c>
      <c r="I176" s="51">
        <f aca="true" t="shared" si="23" ref="I176:I186">H176/D176*100</f>
        <v>74.34616262822287</v>
      </c>
      <c r="J176" s="51">
        <f aca="true" t="shared" si="24" ref="J176:J181">H176/F176*100</f>
        <v>68.5400772</v>
      </c>
      <c r="K176" s="51">
        <f t="shared" si="22"/>
        <v>68.5400772</v>
      </c>
      <c r="L176" s="106">
        <f t="shared" si="19"/>
        <v>0.00027240611636811544</v>
      </c>
    </row>
    <row r="177" spans="1:12" s="49" customFormat="1" ht="10.5">
      <c r="A177" s="47" t="s">
        <v>269</v>
      </c>
      <c r="B177" s="48"/>
      <c r="C177" s="49" t="s">
        <v>270</v>
      </c>
      <c r="D177" s="50">
        <v>151400</v>
      </c>
      <c r="E177" s="50">
        <v>500000</v>
      </c>
      <c r="F177" s="50">
        <v>500000</v>
      </c>
      <c r="G177" s="50">
        <v>500000</v>
      </c>
      <c r="H177" s="52">
        <v>12000</v>
      </c>
      <c r="I177" s="51">
        <f t="shared" si="23"/>
        <v>7.926023778071334</v>
      </c>
      <c r="J177" s="51">
        <f t="shared" si="24"/>
        <v>2.4</v>
      </c>
      <c r="K177" s="51">
        <f t="shared" si="22"/>
        <v>2.4</v>
      </c>
      <c r="L177" s="106">
        <f t="shared" si="19"/>
        <v>9.538575180996106E-07</v>
      </c>
    </row>
    <row r="178" spans="1:12" s="49" customFormat="1" ht="10.5">
      <c r="A178" s="47" t="s">
        <v>271</v>
      </c>
      <c r="B178" s="48"/>
      <c r="C178" s="49" t="s">
        <v>272</v>
      </c>
      <c r="D178" s="50">
        <v>454648.4</v>
      </c>
      <c r="E178" s="50">
        <v>500000</v>
      </c>
      <c r="F178" s="50">
        <v>500000</v>
      </c>
      <c r="G178" s="50">
        <v>500000</v>
      </c>
      <c r="H178" s="52">
        <v>478991.52</v>
      </c>
      <c r="I178" s="51">
        <f t="shared" si="23"/>
        <v>105.35427376407792</v>
      </c>
      <c r="J178" s="51">
        <f t="shared" si="24"/>
        <v>95.798304</v>
      </c>
      <c r="K178" s="51">
        <f t="shared" si="22"/>
        <v>95.798304</v>
      </c>
      <c r="L178" s="106">
        <f t="shared" si="19"/>
        <v>3.807413853816333E-05</v>
      </c>
    </row>
    <row r="179" spans="1:12" s="49" customFormat="1" ht="10.5">
      <c r="A179" s="47" t="s">
        <v>273</v>
      </c>
      <c r="B179" s="48"/>
      <c r="C179" s="49" t="s">
        <v>274</v>
      </c>
      <c r="D179" s="50">
        <v>280000</v>
      </c>
      <c r="E179" s="50">
        <v>500000</v>
      </c>
      <c r="F179" s="50">
        <v>500000</v>
      </c>
      <c r="G179" s="50">
        <v>500000</v>
      </c>
      <c r="H179" s="52">
        <v>141428.56</v>
      </c>
      <c r="I179" s="51">
        <f t="shared" si="23"/>
        <v>50.5102</v>
      </c>
      <c r="J179" s="51">
        <f t="shared" si="24"/>
        <v>28.285712</v>
      </c>
      <c r="K179" s="51">
        <f t="shared" si="22"/>
        <v>28.285712</v>
      </c>
      <c r="L179" s="106">
        <f t="shared" si="19"/>
        <v>1.1241891269166822E-05</v>
      </c>
    </row>
    <row r="180" spans="1:12" s="49" customFormat="1" ht="10.5">
      <c r="A180" s="47" t="s">
        <v>275</v>
      </c>
      <c r="B180" s="48"/>
      <c r="C180" s="49" t="s">
        <v>276</v>
      </c>
      <c r="D180" s="50">
        <v>1811268.8</v>
      </c>
      <c r="E180" s="50">
        <v>500000</v>
      </c>
      <c r="F180" s="50">
        <v>500000</v>
      </c>
      <c r="G180" s="50">
        <v>500000</v>
      </c>
      <c r="H180" s="52">
        <v>2289915.63</v>
      </c>
      <c r="I180" s="51">
        <f t="shared" si="23"/>
        <v>126.4260517268337</v>
      </c>
      <c r="J180" s="51">
        <f t="shared" si="24"/>
        <v>457.98312599999997</v>
      </c>
      <c r="K180" s="51">
        <f t="shared" si="22"/>
        <v>457.98312599999997</v>
      </c>
      <c r="L180" s="106">
        <f t="shared" si="19"/>
        <v>0.0001820211032907755</v>
      </c>
    </row>
    <row r="181" spans="1:12" s="49" customFormat="1" ht="10.5">
      <c r="A181" s="47" t="s">
        <v>277</v>
      </c>
      <c r="B181" s="48"/>
      <c r="C181" s="49" t="s">
        <v>278</v>
      </c>
      <c r="D181" s="50">
        <v>743124.11</v>
      </c>
      <c r="E181" s="50">
        <v>1000000</v>
      </c>
      <c r="F181" s="50">
        <v>1000000</v>
      </c>
      <c r="G181" s="50">
        <v>1000000</v>
      </c>
      <c r="H181" s="52">
        <v>243024.31</v>
      </c>
      <c r="I181" s="51">
        <f t="shared" si="23"/>
        <v>32.70305817422611</v>
      </c>
      <c r="J181" s="51">
        <f t="shared" si="24"/>
        <v>24.302431</v>
      </c>
      <c r="K181" s="51">
        <f t="shared" si="22"/>
        <v>24.302431</v>
      </c>
      <c r="L181" s="106">
        <f t="shared" si="19"/>
        <v>1.931754709787253E-05</v>
      </c>
    </row>
    <row r="182" spans="1:12" s="49" customFormat="1" ht="10.5">
      <c r="A182" s="47" t="s">
        <v>279</v>
      </c>
      <c r="B182" s="48"/>
      <c r="C182" s="49" t="s">
        <v>280</v>
      </c>
      <c r="D182" s="50">
        <f>502484.7+4590000</f>
        <v>5092484.7</v>
      </c>
      <c r="E182" s="50"/>
      <c r="H182" s="52">
        <v>1498516.13</v>
      </c>
      <c r="I182" s="51">
        <f t="shared" si="23"/>
        <v>29.426031068880775</v>
      </c>
      <c r="J182" s="51"/>
      <c r="K182" s="51"/>
      <c r="L182" s="106">
        <f t="shared" si="19"/>
        <v>0.00011911423971616944</v>
      </c>
    </row>
    <row r="183" spans="1:12" s="49" customFormat="1" ht="10.5">
      <c r="A183" s="47" t="s">
        <v>281</v>
      </c>
      <c r="B183" s="48"/>
      <c r="C183" s="49" t="s">
        <v>282</v>
      </c>
      <c r="D183" s="50">
        <v>310000</v>
      </c>
      <c r="E183" s="50"/>
      <c r="H183" s="52">
        <v>600000</v>
      </c>
      <c r="I183" s="51">
        <f t="shared" si="23"/>
        <v>193.5483870967742</v>
      </c>
      <c r="J183" s="51"/>
      <c r="K183" s="51"/>
      <c r="L183" s="106">
        <f t="shared" si="19"/>
        <v>4.769287590498053E-05</v>
      </c>
    </row>
    <row r="184" spans="1:12" s="49" customFormat="1" ht="10.5">
      <c r="A184" s="47" t="s">
        <v>283</v>
      </c>
      <c r="B184" s="48"/>
      <c r="C184" s="49" t="s">
        <v>284</v>
      </c>
      <c r="D184" s="50">
        <v>1317640</v>
      </c>
      <c r="E184" s="50">
        <f>3000000+1000000</f>
        <v>4000000</v>
      </c>
      <c r="F184" s="50">
        <f>3000000+1000000</f>
        <v>4000000</v>
      </c>
      <c r="G184" s="50">
        <f>3000000+1000000</f>
        <v>4000000</v>
      </c>
      <c r="H184" s="52">
        <v>97980</v>
      </c>
      <c r="I184" s="51">
        <f t="shared" si="23"/>
        <v>7.436021978689171</v>
      </c>
      <c r="J184" s="51">
        <f>H184/F184*100</f>
        <v>2.4495</v>
      </c>
      <c r="K184" s="51">
        <f>+H184/$G184*100</f>
        <v>2.4495</v>
      </c>
      <c r="L184" s="106">
        <f t="shared" si="19"/>
        <v>7.78824663528332E-06</v>
      </c>
    </row>
    <row r="185" spans="1:12" s="49" customFormat="1" ht="10.5">
      <c r="A185" s="47" t="s">
        <v>285</v>
      </c>
      <c r="B185" s="48"/>
      <c r="C185" s="49" t="s">
        <v>286</v>
      </c>
      <c r="D185" s="50">
        <v>2278972.8</v>
      </c>
      <c r="E185" s="50">
        <v>2000000</v>
      </c>
      <c r="F185" s="50">
        <v>2000000</v>
      </c>
      <c r="G185" s="50">
        <v>2000000</v>
      </c>
      <c r="H185" s="52">
        <v>585850.5</v>
      </c>
      <c r="I185" s="51">
        <f t="shared" si="23"/>
        <v>25.706778948831687</v>
      </c>
      <c r="J185" s="51">
        <f>H185/F185*100</f>
        <v>29.292525</v>
      </c>
      <c r="K185" s="51">
        <f>+H185/$G185*100</f>
        <v>29.292525</v>
      </c>
      <c r="L185" s="106">
        <f t="shared" si="19"/>
        <v>4.6568158658951325E-05</v>
      </c>
    </row>
    <row r="186" spans="1:12" s="49" customFormat="1" ht="10.5">
      <c r="A186" s="47" t="s">
        <v>287</v>
      </c>
      <c r="B186" s="48"/>
      <c r="C186" s="49" t="s">
        <v>288</v>
      </c>
      <c r="D186" s="50">
        <v>2735700</v>
      </c>
      <c r="E186" s="50">
        <v>1000000</v>
      </c>
      <c r="F186" s="50">
        <v>1000000</v>
      </c>
      <c r="G186" s="50">
        <v>1000000</v>
      </c>
      <c r="H186" s="52">
        <v>469200</v>
      </c>
      <c r="I186" s="51">
        <f t="shared" si="23"/>
        <v>17.15100339949556</v>
      </c>
      <c r="J186" s="51">
        <f>H186/F186*100</f>
        <v>46.92</v>
      </c>
      <c r="K186" s="51">
        <f>+H186/$G186*100</f>
        <v>46.92</v>
      </c>
      <c r="L186" s="106">
        <f t="shared" si="19"/>
        <v>3.729582895769477E-05</v>
      </c>
    </row>
    <row r="187" spans="1:12" s="49" customFormat="1" ht="10.5">
      <c r="A187" s="47" t="s">
        <v>578</v>
      </c>
      <c r="B187" s="48"/>
      <c r="C187" s="49" t="s">
        <v>579</v>
      </c>
      <c r="D187" s="50"/>
      <c r="E187" s="50"/>
      <c r="F187" s="50"/>
      <c r="G187" s="50"/>
      <c r="H187" s="52">
        <v>12840</v>
      </c>
      <c r="I187" s="51"/>
      <c r="J187" s="51"/>
      <c r="K187" s="51"/>
      <c r="L187" s="106">
        <f t="shared" si="19"/>
        <v>1.0206275443665834E-06</v>
      </c>
    </row>
    <row r="188" spans="1:12" ht="12.75" customHeight="1">
      <c r="A188" s="34"/>
      <c r="D188" s="16"/>
      <c r="E188" s="16"/>
      <c r="H188" s="32"/>
      <c r="I188" s="31"/>
      <c r="J188" s="31"/>
      <c r="K188" s="31"/>
      <c r="L188" s="103"/>
    </row>
    <row r="189" spans="1:12" s="37" customFormat="1" ht="12.75">
      <c r="A189" s="36">
        <v>714</v>
      </c>
      <c r="C189" s="37" t="s">
        <v>289</v>
      </c>
      <c r="D189" s="38">
        <f>D190</f>
        <v>757042095.49</v>
      </c>
      <c r="E189" s="38">
        <f>E190</f>
        <v>932103000</v>
      </c>
      <c r="F189" s="38">
        <f>F190</f>
        <v>1095300000</v>
      </c>
      <c r="G189" s="38">
        <f>G190</f>
        <v>1095300000</v>
      </c>
      <c r="H189" s="41">
        <f>H190</f>
        <v>999451838.32</v>
      </c>
      <c r="I189" s="40">
        <f>H189/D189*100</f>
        <v>132.02064248132712</v>
      </c>
      <c r="J189" s="40">
        <f>H189/F189*100</f>
        <v>91.24914072126359</v>
      </c>
      <c r="K189" s="40">
        <f aca="true" t="shared" si="25" ref="K189:K207">+H189/$G189*100</f>
        <v>91.24914072126359</v>
      </c>
      <c r="L189" s="104">
        <f t="shared" si="19"/>
        <v>0.07944455416333404</v>
      </c>
    </row>
    <row r="190" spans="1:12" s="37" customFormat="1" ht="12.75">
      <c r="A190" s="36">
        <v>7141</v>
      </c>
      <c r="C190" s="37" t="s">
        <v>290</v>
      </c>
      <c r="D190" s="38">
        <f>SUM(D196:D204)+D191</f>
        <v>757042095.49</v>
      </c>
      <c r="E190" s="38">
        <f>SUM(E196:E204)+E191-E199-E200</f>
        <v>932103000</v>
      </c>
      <c r="F190" s="38">
        <f>SUM(F196:F204)+F191-F199-F200</f>
        <v>1095300000</v>
      </c>
      <c r="G190" s="38">
        <f>SUM(G196:G204)+G191-G199-G200</f>
        <v>1095300000</v>
      </c>
      <c r="H190" s="41">
        <f>+H191+H196+H197+H198+H204</f>
        <v>999451838.32</v>
      </c>
      <c r="I190" s="40">
        <f>H190/D190*100</f>
        <v>132.02064248132712</v>
      </c>
      <c r="J190" s="40">
        <f>H190/F190*100</f>
        <v>91.24914072126359</v>
      </c>
      <c r="K190" s="40">
        <f t="shared" si="25"/>
        <v>91.24914072126359</v>
      </c>
      <c r="L190" s="104">
        <f t="shared" si="19"/>
        <v>0.07944455416333404</v>
      </c>
    </row>
    <row r="191" spans="1:12" s="43" customFormat="1" ht="12.75" customHeight="1">
      <c r="A191" s="42" t="s">
        <v>291</v>
      </c>
      <c r="C191" s="43" t="s">
        <v>290</v>
      </c>
      <c r="D191" s="44">
        <f>SUM(D192:D195)</f>
        <v>436227040.88</v>
      </c>
      <c r="E191" s="44">
        <f>SUM(E192:E195)</f>
        <v>615650000</v>
      </c>
      <c r="F191" s="44">
        <f>SUM(F192:F195)</f>
        <v>740650000</v>
      </c>
      <c r="G191" s="44">
        <f>SUM(G192:G195)</f>
        <v>740650000</v>
      </c>
      <c r="H191" s="46">
        <f>SUM(H192:H195)</f>
        <v>673042412.48</v>
      </c>
      <c r="I191" s="45">
        <f>H191/D191*100</f>
        <v>154.28718291334548</v>
      </c>
      <c r="J191" s="45">
        <f>H191/F191*100</f>
        <v>90.8718574873422</v>
      </c>
      <c r="K191" s="45">
        <f t="shared" si="25"/>
        <v>90.8718574873422</v>
      </c>
      <c r="L191" s="105">
        <f t="shared" si="19"/>
        <v>0.053498880428662264</v>
      </c>
    </row>
    <row r="192" spans="1:12" s="49" customFormat="1" ht="12.75" customHeight="1" hidden="1">
      <c r="A192" s="47"/>
      <c r="B192" s="48" t="s">
        <v>251</v>
      </c>
      <c r="C192" s="49" t="s">
        <v>292</v>
      </c>
      <c r="D192" s="50"/>
      <c r="E192" s="50"/>
      <c r="H192" s="52"/>
      <c r="I192" s="51" t="e">
        <f>H192/D192*100</f>
        <v>#DIV/0!</v>
      </c>
      <c r="J192" s="51" t="e">
        <f>H192/F192*100</f>
        <v>#DIV/0!</v>
      </c>
      <c r="K192" s="51" t="e">
        <f t="shared" si="25"/>
        <v>#DIV/0!</v>
      </c>
      <c r="L192" s="105">
        <f t="shared" si="19"/>
        <v>0</v>
      </c>
    </row>
    <row r="193" spans="1:12" s="49" customFormat="1" ht="12.75" customHeight="1">
      <c r="A193" s="47" t="s">
        <v>293</v>
      </c>
      <c r="B193" s="48"/>
      <c r="C193" s="49" t="s">
        <v>294</v>
      </c>
      <c r="D193" s="50"/>
      <c r="E193" s="50">
        <v>15000000</v>
      </c>
      <c r="H193" s="52"/>
      <c r="I193" s="51"/>
      <c r="J193" s="51"/>
      <c r="K193" s="51"/>
      <c r="L193" s="106">
        <f t="shared" si="19"/>
        <v>0</v>
      </c>
    </row>
    <row r="194" spans="1:12" s="49" customFormat="1" ht="10.5">
      <c r="A194" s="47" t="s">
        <v>295</v>
      </c>
      <c r="B194" s="48"/>
      <c r="C194" s="49" t="s">
        <v>576</v>
      </c>
      <c r="D194" s="50">
        <f>245227390.96-27739270.27</f>
        <v>217488120.69</v>
      </c>
      <c r="E194" s="50">
        <v>360000000</v>
      </c>
      <c r="F194" s="50">
        <v>500000000</v>
      </c>
      <c r="G194" s="50">
        <v>500000000</v>
      </c>
      <c r="H194" s="52">
        <v>456584062.67</v>
      </c>
      <c r="I194" s="51">
        <f>H194/D194*100</f>
        <v>209.93517311264972</v>
      </c>
      <c r="J194" s="51">
        <f aca="true" t="shared" si="26" ref="J194:J207">H194/F194*100</f>
        <v>91.31681253400001</v>
      </c>
      <c r="K194" s="51">
        <f t="shared" si="25"/>
        <v>91.31681253400001</v>
      </c>
      <c r="L194" s="106">
        <f t="shared" si="19"/>
        <v>0.03629301173518694</v>
      </c>
    </row>
    <row r="195" spans="1:12" s="49" customFormat="1" ht="10.5">
      <c r="A195" s="47" t="s">
        <v>296</v>
      </c>
      <c r="B195" s="48"/>
      <c r="C195" s="49" t="s">
        <v>577</v>
      </c>
      <c r="D195" s="50">
        <v>218738920.19</v>
      </c>
      <c r="E195" s="50">
        <f>240000000+650000</f>
        <v>240650000</v>
      </c>
      <c r="F195" s="50">
        <v>240650000</v>
      </c>
      <c r="G195" s="50">
        <v>240650000</v>
      </c>
      <c r="H195" s="52">
        <v>216458349.81</v>
      </c>
      <c r="I195" s="51">
        <f>H195/D195*100</f>
        <v>98.95740073233466</v>
      </c>
      <c r="J195" s="51">
        <f t="shared" si="26"/>
        <v>89.94737162268855</v>
      </c>
      <c r="K195" s="51">
        <f t="shared" si="25"/>
        <v>89.94737162268855</v>
      </c>
      <c r="L195" s="106">
        <f t="shared" si="19"/>
        <v>0.017205868693475325</v>
      </c>
    </row>
    <row r="196" spans="1:12" s="43" customFormat="1" ht="12.75" customHeight="1">
      <c r="A196" s="42" t="s">
        <v>297</v>
      </c>
      <c r="C196" s="43" t="s">
        <v>298</v>
      </c>
      <c r="D196" s="44">
        <v>170600525.9</v>
      </c>
      <c r="E196" s="44">
        <f>160000000-10000000</f>
        <v>150000000</v>
      </c>
      <c r="F196" s="44">
        <v>161350000</v>
      </c>
      <c r="G196" s="44">
        <v>161350000</v>
      </c>
      <c r="H196" s="46">
        <v>165002135.29</v>
      </c>
      <c r="I196" s="45">
        <f>H196/D196*100</f>
        <v>96.71842124725829</v>
      </c>
      <c r="J196" s="45">
        <f t="shared" si="26"/>
        <v>102.26348638983576</v>
      </c>
      <c r="K196" s="45">
        <f t="shared" si="25"/>
        <v>102.26348638983576</v>
      </c>
      <c r="L196" s="105">
        <f t="shared" si="19"/>
        <v>0.013115710604071296</v>
      </c>
    </row>
    <row r="197" spans="1:12" s="43" customFormat="1" ht="12.75" customHeight="1">
      <c r="A197" s="42" t="s">
        <v>299</v>
      </c>
      <c r="C197" s="43" t="s">
        <v>300</v>
      </c>
      <c r="D197" s="44">
        <v>4472712.7</v>
      </c>
      <c r="E197" s="44">
        <f>3300000+200000</f>
        <v>3500000</v>
      </c>
      <c r="F197" s="44">
        <v>3500000</v>
      </c>
      <c r="G197" s="44">
        <v>3500000</v>
      </c>
      <c r="H197" s="46">
        <v>8662283</v>
      </c>
      <c r="I197" s="45">
        <f>H197/D197*100</f>
        <v>193.66955986240743</v>
      </c>
      <c r="J197" s="45">
        <f t="shared" si="26"/>
        <v>247.4938</v>
      </c>
      <c r="K197" s="45">
        <f t="shared" si="25"/>
        <v>247.4938</v>
      </c>
      <c r="L197" s="105">
        <f t="shared" si="19"/>
        <v>0.0006885486469547041</v>
      </c>
    </row>
    <row r="198" spans="1:12" s="43" customFormat="1" ht="12.75" customHeight="1">
      <c r="A198" s="42" t="s">
        <v>301</v>
      </c>
      <c r="C198" s="43" t="s">
        <v>302</v>
      </c>
      <c r="D198" s="44"/>
      <c r="E198" s="44">
        <f>+E199+E200</f>
        <v>9000000</v>
      </c>
      <c r="F198" s="44">
        <f>+F199+F200</f>
        <v>9000000</v>
      </c>
      <c r="G198" s="44">
        <f>+G199+G200</f>
        <v>9000000</v>
      </c>
      <c r="H198" s="46">
        <f>+H199+H200</f>
        <v>787659.72</v>
      </c>
      <c r="I198" s="45"/>
      <c r="J198" s="45">
        <f t="shared" si="26"/>
        <v>8.751774666666666</v>
      </c>
      <c r="K198" s="45">
        <f t="shared" si="25"/>
        <v>8.751774666666666</v>
      </c>
      <c r="L198" s="105">
        <f t="shared" si="19"/>
        <v>6.260959546885284E-05</v>
      </c>
    </row>
    <row r="199" spans="1:12" s="58" customFormat="1" ht="11.25" customHeight="1" hidden="1">
      <c r="A199" s="56">
        <v>71410701</v>
      </c>
      <c r="C199" s="58" t="s">
        <v>303</v>
      </c>
      <c r="D199" s="59"/>
      <c r="E199" s="59"/>
      <c r="F199" s="59"/>
      <c r="G199" s="59"/>
      <c r="H199" s="61"/>
      <c r="I199" s="60"/>
      <c r="J199" s="60" t="e">
        <f t="shared" si="26"/>
        <v>#DIV/0!</v>
      </c>
      <c r="K199" s="60" t="e">
        <f t="shared" si="25"/>
        <v>#DIV/0!</v>
      </c>
      <c r="L199" s="108">
        <f t="shared" si="19"/>
        <v>0</v>
      </c>
    </row>
    <row r="200" spans="1:12" s="58" customFormat="1" ht="11.25" customHeight="1">
      <c r="A200" s="56">
        <v>71410704</v>
      </c>
      <c r="C200" s="58" t="s">
        <v>304</v>
      </c>
      <c r="D200" s="59"/>
      <c r="E200" s="59">
        <v>9000000</v>
      </c>
      <c r="F200" s="59">
        <v>9000000</v>
      </c>
      <c r="G200" s="59">
        <v>9000000</v>
      </c>
      <c r="H200" s="61">
        <v>787659.72</v>
      </c>
      <c r="I200" s="60"/>
      <c r="J200" s="60">
        <f t="shared" si="26"/>
        <v>8.751774666666666</v>
      </c>
      <c r="K200" s="60">
        <f t="shared" si="25"/>
        <v>8.751774666666666</v>
      </c>
      <c r="L200" s="108">
        <f t="shared" si="19"/>
        <v>6.260959546885284E-05</v>
      </c>
    </row>
    <row r="201" spans="1:12" s="43" customFormat="1" ht="11.25" customHeight="1" hidden="1">
      <c r="A201" s="42" t="s">
        <v>305</v>
      </c>
      <c r="C201" s="43" t="s">
        <v>306</v>
      </c>
      <c r="D201" s="44"/>
      <c r="E201" s="44"/>
      <c r="H201" s="46"/>
      <c r="I201" s="45" t="e">
        <f aca="true" t="shared" si="27" ref="I201:I208">H201/D201*100</f>
        <v>#DIV/0!</v>
      </c>
      <c r="J201" s="45" t="e">
        <f t="shared" si="26"/>
        <v>#DIV/0!</v>
      </c>
      <c r="K201" s="45" t="e">
        <f t="shared" si="25"/>
        <v>#DIV/0!</v>
      </c>
      <c r="L201" s="105">
        <f t="shared" si="19"/>
        <v>0</v>
      </c>
    </row>
    <row r="202" spans="1:12" s="43" customFormat="1" ht="11.25" customHeight="1" hidden="1">
      <c r="A202" s="42" t="s">
        <v>307</v>
      </c>
      <c r="C202" s="43" t="s">
        <v>308</v>
      </c>
      <c r="D202" s="44"/>
      <c r="E202" s="44"/>
      <c r="H202" s="46"/>
      <c r="I202" s="45" t="e">
        <f t="shared" si="27"/>
        <v>#DIV/0!</v>
      </c>
      <c r="J202" s="45" t="e">
        <f t="shared" si="26"/>
        <v>#DIV/0!</v>
      </c>
      <c r="K202" s="45" t="e">
        <f t="shared" si="25"/>
        <v>#DIV/0!</v>
      </c>
      <c r="L202" s="105">
        <f t="shared" si="19"/>
        <v>0</v>
      </c>
    </row>
    <row r="203" spans="1:12" s="43" customFormat="1" ht="11.25" customHeight="1" hidden="1">
      <c r="A203" s="42" t="s">
        <v>309</v>
      </c>
      <c r="C203" s="43" t="s">
        <v>310</v>
      </c>
      <c r="D203" s="44"/>
      <c r="E203" s="44"/>
      <c r="H203" s="46"/>
      <c r="I203" s="45" t="e">
        <f t="shared" si="27"/>
        <v>#DIV/0!</v>
      </c>
      <c r="J203" s="45" t="e">
        <f t="shared" si="26"/>
        <v>#DIV/0!</v>
      </c>
      <c r="K203" s="45" t="e">
        <f t="shared" si="25"/>
        <v>#DIV/0!</v>
      </c>
      <c r="L203" s="105">
        <f aca="true" t="shared" si="28" ref="L203:L266">H203/$H$7</f>
        <v>0</v>
      </c>
    </row>
    <row r="204" spans="1:12" s="43" customFormat="1" ht="11.25" customHeight="1">
      <c r="A204" s="42" t="s">
        <v>311</v>
      </c>
      <c r="C204" s="43" t="s">
        <v>312</v>
      </c>
      <c r="D204" s="44">
        <f>SUM(D205:D208)</f>
        <v>145741816.01000002</v>
      </c>
      <c r="E204" s="44">
        <f>SUM(E205:E208)</f>
        <v>153953000</v>
      </c>
      <c r="F204" s="44">
        <f>SUM(F205:F209)</f>
        <v>180800000</v>
      </c>
      <c r="G204" s="44">
        <f>SUM(G205:G209)</f>
        <v>180800000</v>
      </c>
      <c r="H204" s="46">
        <f>SUM(H205:H208)</f>
        <v>151957347.83</v>
      </c>
      <c r="I204" s="45">
        <f t="shared" si="27"/>
        <v>104.26475529821415</v>
      </c>
      <c r="J204" s="45">
        <f t="shared" si="26"/>
        <v>84.04720565818586</v>
      </c>
      <c r="K204" s="45">
        <f t="shared" si="25"/>
        <v>84.04720565818586</v>
      </c>
      <c r="L204" s="105">
        <f t="shared" si="28"/>
        <v>0.012078804888176921</v>
      </c>
    </row>
    <row r="205" spans="1:12" s="49" customFormat="1" ht="12.75" customHeight="1">
      <c r="A205" s="47" t="s">
        <v>313</v>
      </c>
      <c r="B205" s="48"/>
      <c r="C205" s="49" t="s">
        <v>314</v>
      </c>
      <c r="D205" s="50">
        <v>110817952.2</v>
      </c>
      <c r="E205" s="50">
        <f>100000000+31953000</f>
        <v>131953000</v>
      </c>
      <c r="F205" s="50">
        <v>158800000</v>
      </c>
      <c r="G205" s="50">
        <v>158800000</v>
      </c>
      <c r="H205" s="52">
        <v>142447077</v>
      </c>
      <c r="I205" s="51">
        <f t="shared" si="27"/>
        <v>128.54151712072513</v>
      </c>
      <c r="J205" s="51">
        <f t="shared" si="26"/>
        <v>89.7021895465995</v>
      </c>
      <c r="K205" s="51">
        <f t="shared" si="25"/>
        <v>89.7021895465995</v>
      </c>
      <c r="L205" s="106">
        <f t="shared" si="28"/>
        <v>0.011322851277313676</v>
      </c>
    </row>
    <row r="206" spans="1:12" s="49" customFormat="1" ht="10.5">
      <c r="A206" s="47" t="s">
        <v>315</v>
      </c>
      <c r="B206" s="48"/>
      <c r="C206" s="49" t="s">
        <v>316</v>
      </c>
      <c r="D206" s="50">
        <f>33131317.37+19281.2</f>
        <v>33150598.57</v>
      </c>
      <c r="E206" s="50">
        <v>20000000</v>
      </c>
      <c r="F206" s="50">
        <v>20000000</v>
      </c>
      <c r="G206" s="50">
        <v>20000000</v>
      </c>
      <c r="H206" s="52">
        <f>7116963.71+900</f>
        <v>7117863.71</v>
      </c>
      <c r="I206" s="51">
        <f t="shared" si="27"/>
        <v>21.47129770513824</v>
      </c>
      <c r="J206" s="51">
        <f t="shared" si="26"/>
        <v>35.58931855</v>
      </c>
      <c r="K206" s="51">
        <f t="shared" si="25"/>
        <v>35.58931855</v>
      </c>
      <c r="L206" s="106">
        <f t="shared" si="28"/>
        <v>0.0005657856510493238</v>
      </c>
    </row>
    <row r="207" spans="1:12" s="49" customFormat="1" ht="10.5">
      <c r="A207" s="47" t="s">
        <v>317</v>
      </c>
      <c r="B207" s="48"/>
      <c r="C207" s="49" t="s">
        <v>318</v>
      </c>
      <c r="D207" s="50">
        <v>1726391.5</v>
      </c>
      <c r="E207" s="50">
        <v>2000000</v>
      </c>
      <c r="F207" s="50">
        <v>2000000</v>
      </c>
      <c r="G207" s="50">
        <v>2000000</v>
      </c>
      <c r="H207" s="52">
        <v>2324380.32</v>
      </c>
      <c r="I207" s="51">
        <f t="shared" si="27"/>
        <v>134.6380771684754</v>
      </c>
      <c r="J207" s="51">
        <f t="shared" si="26"/>
        <v>116.219016</v>
      </c>
      <c r="K207" s="51">
        <f t="shared" si="25"/>
        <v>116.219016</v>
      </c>
      <c r="L207" s="106">
        <f t="shared" si="28"/>
        <v>0.00018476063692956488</v>
      </c>
    </row>
    <row r="208" spans="1:12" s="49" customFormat="1" ht="10.5">
      <c r="A208" s="47" t="s">
        <v>319</v>
      </c>
      <c r="B208" s="48"/>
      <c r="C208" s="49" t="s">
        <v>320</v>
      </c>
      <c r="D208" s="50">
        <f>37779.69+9094.05</f>
        <v>46873.740000000005</v>
      </c>
      <c r="E208" s="50"/>
      <c r="H208" s="52">
        <v>68026.8</v>
      </c>
      <c r="I208" s="51">
        <f t="shared" si="27"/>
        <v>145.12774103367897</v>
      </c>
      <c r="J208" s="51"/>
      <c r="K208" s="51"/>
      <c r="L208" s="106">
        <f t="shared" si="28"/>
        <v>5.4073228843548825E-06</v>
      </c>
    </row>
    <row r="209" spans="1:12" ht="12.75" customHeight="1">
      <c r="A209" s="34"/>
      <c r="D209" s="16"/>
      <c r="E209" s="16"/>
      <c r="H209" s="32"/>
      <c r="I209" s="31"/>
      <c r="J209" s="31"/>
      <c r="K209" s="31"/>
      <c r="L209" s="103"/>
    </row>
    <row r="210" spans="1:12" s="54" customFormat="1" ht="15">
      <c r="A210" s="53">
        <v>72</v>
      </c>
      <c r="C210" s="54" t="s">
        <v>321</v>
      </c>
      <c r="D210" s="20">
        <f>D213+D223</f>
        <v>1057411007.66</v>
      </c>
      <c r="E210" s="20">
        <f>E213+E223</f>
        <v>752000000</v>
      </c>
      <c r="F210" s="20">
        <f>F213+F223</f>
        <v>817000000</v>
      </c>
      <c r="G210" s="20">
        <f>G213+G223</f>
        <v>817000000</v>
      </c>
      <c r="H210" s="22">
        <f>H213+H223</f>
        <v>460414133.5</v>
      </c>
      <c r="I210" s="21">
        <f>H210/D210*100</f>
        <v>43.54164370946681</v>
      </c>
      <c r="J210" s="21">
        <f>H210/F210*100</f>
        <v>56.35423910648715</v>
      </c>
      <c r="K210" s="21">
        <f>+H210/$G210*100</f>
        <v>56.35423910648715</v>
      </c>
      <c r="L210" s="100">
        <f t="shared" si="28"/>
        <v>0.03659745688985773</v>
      </c>
    </row>
    <row r="211" spans="1:12" ht="12.75">
      <c r="A211" s="34"/>
      <c r="C211" s="35" t="s">
        <v>322</v>
      </c>
      <c r="D211" s="16"/>
      <c r="E211" s="16"/>
      <c r="H211" s="32"/>
      <c r="I211" s="31"/>
      <c r="J211" s="31"/>
      <c r="K211" s="31"/>
      <c r="L211" s="103"/>
    </row>
    <row r="212" spans="1:12" ht="12.75" customHeight="1">
      <c r="A212" s="34"/>
      <c r="C212" s="35"/>
      <c r="D212" s="16"/>
      <c r="E212" s="16"/>
      <c r="H212" s="32"/>
      <c r="I212" s="31"/>
      <c r="J212" s="31"/>
      <c r="K212" s="31"/>
      <c r="L212" s="103"/>
    </row>
    <row r="213" spans="1:12" s="37" customFormat="1" ht="12.75">
      <c r="A213" s="36">
        <v>720</v>
      </c>
      <c r="C213" s="37" t="s">
        <v>323</v>
      </c>
      <c r="D213" s="38">
        <f>D214</f>
        <v>307334327.6</v>
      </c>
      <c r="E213" s="38">
        <f>+E214+E218</f>
        <v>338000000</v>
      </c>
      <c r="F213" s="38">
        <f>+F214+F218</f>
        <v>338000000</v>
      </c>
      <c r="G213" s="38">
        <f>+G214+G218</f>
        <v>338000000</v>
      </c>
      <c r="H213" s="41">
        <f>H214+H218+H220</f>
        <v>299835126.6</v>
      </c>
      <c r="I213" s="40">
        <f>H213/D213*100</f>
        <v>97.55992080072477</v>
      </c>
      <c r="J213" s="40">
        <f>H213/F213*100</f>
        <v>88.70861733727811</v>
      </c>
      <c r="K213" s="40">
        <f>+H213/$G213*100</f>
        <v>88.70861733727811</v>
      </c>
      <c r="L213" s="104">
        <f t="shared" si="28"/>
        <v>0.023833332474813212</v>
      </c>
    </row>
    <row r="214" spans="1:12" s="37" customFormat="1" ht="12.75">
      <c r="A214" s="36">
        <v>7200</v>
      </c>
      <c r="C214" s="37" t="s">
        <v>324</v>
      </c>
      <c r="D214" s="38">
        <f>SUM(D215:D217)</f>
        <v>307334327.6</v>
      </c>
      <c r="E214" s="38">
        <f>SUM(E215:E217)</f>
        <v>338000000</v>
      </c>
      <c r="F214" s="38">
        <f>SUM(F215:F217)</f>
        <v>338000000</v>
      </c>
      <c r="G214" s="38">
        <f>SUM(G215:G217)</f>
        <v>338000000</v>
      </c>
      <c r="H214" s="41">
        <f>SUM(H215:H217)</f>
        <v>299708626.6</v>
      </c>
      <c r="I214" s="40">
        <f>H214/D214*100</f>
        <v>97.51876041327705</v>
      </c>
      <c r="J214" s="40">
        <f>H214/F214*100</f>
        <v>88.67119130177515</v>
      </c>
      <c r="K214" s="40">
        <f>+H214/$G214*100</f>
        <v>88.67119130177515</v>
      </c>
      <c r="L214" s="104">
        <f t="shared" si="28"/>
        <v>0.02382327722680991</v>
      </c>
    </row>
    <row r="215" spans="1:12" s="43" customFormat="1" ht="12.75" customHeight="1">
      <c r="A215" s="42" t="s">
        <v>325</v>
      </c>
      <c r="C215" s="43" t="s">
        <v>326</v>
      </c>
      <c r="D215" s="44"/>
      <c r="E215" s="44">
        <v>40000000</v>
      </c>
      <c r="F215" s="44">
        <v>40000000</v>
      </c>
      <c r="G215" s="44">
        <v>40000000</v>
      </c>
      <c r="H215" s="46">
        <v>1908647</v>
      </c>
      <c r="I215" s="45"/>
      <c r="J215" s="45">
        <f>H215/F215*100</f>
        <v>4.7716175</v>
      </c>
      <c r="K215" s="45">
        <f>+H215/$G215*100</f>
        <v>4.7716175</v>
      </c>
      <c r="L215" s="105">
        <f t="shared" si="28"/>
        <v>0.00015171477419568895</v>
      </c>
    </row>
    <row r="216" spans="1:12" s="43" customFormat="1" ht="12.75" customHeight="1">
      <c r="A216" s="42" t="s">
        <v>327</v>
      </c>
      <c r="C216" s="43" t="s">
        <v>328</v>
      </c>
      <c r="D216" s="44">
        <v>305849748.6</v>
      </c>
      <c r="E216" s="44">
        <f>255000000+25000000</f>
        <v>280000000</v>
      </c>
      <c r="F216" s="44">
        <f>255000000+25000000</f>
        <v>280000000</v>
      </c>
      <c r="G216" s="44">
        <f>255000000+25000000</f>
        <v>280000000</v>
      </c>
      <c r="H216" s="46">
        <v>297799979.6</v>
      </c>
      <c r="I216" s="45">
        <f>H216/D216*100</f>
        <v>97.36806420902842</v>
      </c>
      <c r="J216" s="45">
        <f>H216/F216*100</f>
        <v>106.35713557142859</v>
      </c>
      <c r="K216" s="45">
        <f>+H216/$G216*100</f>
        <v>106.35713557142859</v>
      </c>
      <c r="L216" s="105">
        <f t="shared" si="28"/>
        <v>0.023671562452614224</v>
      </c>
    </row>
    <row r="217" spans="1:12" s="43" customFormat="1" ht="12.75" customHeight="1">
      <c r="A217" s="42" t="s">
        <v>329</v>
      </c>
      <c r="C217" s="43" t="s">
        <v>330</v>
      </c>
      <c r="D217" s="44">
        <v>1484579</v>
      </c>
      <c r="E217" s="44">
        <v>18000000</v>
      </c>
      <c r="F217" s="44">
        <v>18000000</v>
      </c>
      <c r="G217" s="44">
        <v>18000000</v>
      </c>
      <c r="H217" s="46">
        <v>0</v>
      </c>
      <c r="I217" s="45">
        <f>H217/D217*100</f>
        <v>0</v>
      </c>
      <c r="J217" s="45">
        <f>H217/F217*100</f>
        <v>0</v>
      </c>
      <c r="K217" s="45">
        <f>+H217/$G217*100</f>
        <v>0</v>
      </c>
      <c r="L217" s="105">
        <f t="shared" si="28"/>
        <v>0</v>
      </c>
    </row>
    <row r="218" spans="1:12" s="63" customFormat="1" ht="12.75" customHeight="1">
      <c r="A218" s="62">
        <v>7201</v>
      </c>
      <c r="C218" s="63" t="s">
        <v>331</v>
      </c>
      <c r="D218" s="39"/>
      <c r="E218" s="39">
        <f>+E219</f>
        <v>0</v>
      </c>
      <c r="F218" s="39">
        <f>+F219</f>
        <v>0</v>
      </c>
      <c r="G218" s="39">
        <f>+G219</f>
        <v>0</v>
      </c>
      <c r="H218" s="64">
        <f>+H219</f>
        <v>30000</v>
      </c>
      <c r="I218" s="28"/>
      <c r="J218" s="28"/>
      <c r="K218" s="28"/>
      <c r="L218" s="104">
        <f t="shared" si="28"/>
        <v>2.384643795249026E-06</v>
      </c>
    </row>
    <row r="219" spans="1:12" s="43" customFormat="1" ht="12.75" customHeight="1">
      <c r="A219" s="42">
        <v>720100</v>
      </c>
      <c r="C219" s="43" t="s">
        <v>332</v>
      </c>
      <c r="D219" s="44"/>
      <c r="E219" s="44"/>
      <c r="F219" s="44"/>
      <c r="G219" s="44"/>
      <c r="H219" s="46">
        <v>30000</v>
      </c>
      <c r="I219" s="45"/>
      <c r="J219" s="45"/>
      <c r="K219" s="45"/>
      <c r="L219" s="105">
        <f t="shared" si="28"/>
        <v>2.384643795249026E-06</v>
      </c>
    </row>
    <row r="220" spans="1:12" s="63" customFormat="1" ht="12.75" customHeight="1">
      <c r="A220" s="62">
        <v>7202</v>
      </c>
      <c r="C220" s="63" t="s">
        <v>333</v>
      </c>
      <c r="D220" s="39"/>
      <c r="E220" s="39"/>
      <c r="F220" s="39">
        <f>+F221</f>
        <v>0</v>
      </c>
      <c r="G220" s="39">
        <f>+G221</f>
        <v>0</v>
      </c>
      <c r="H220" s="64">
        <f>+H221</f>
        <v>96500</v>
      </c>
      <c r="I220" s="28"/>
      <c r="J220" s="28"/>
      <c r="K220" s="28"/>
      <c r="L220" s="104">
        <f t="shared" si="28"/>
        <v>7.670604208051034E-06</v>
      </c>
    </row>
    <row r="221" spans="1:12" s="43" customFormat="1" ht="12.75" customHeight="1">
      <c r="A221" s="42">
        <v>720299</v>
      </c>
      <c r="C221" s="43" t="s">
        <v>334</v>
      </c>
      <c r="D221" s="44"/>
      <c r="E221" s="44"/>
      <c r="F221" s="39"/>
      <c r="G221" s="39"/>
      <c r="H221" s="46">
        <v>96500</v>
      </c>
      <c r="I221" s="45"/>
      <c r="J221" s="45"/>
      <c r="K221" s="45"/>
      <c r="L221" s="105">
        <f t="shared" si="28"/>
        <v>7.670604208051034E-06</v>
      </c>
    </row>
    <row r="222" spans="1:12" ht="12.75" customHeight="1">
      <c r="A222" s="34"/>
      <c r="D222" s="16"/>
      <c r="E222" s="16"/>
      <c r="F222" s="44"/>
      <c r="G222" s="44"/>
      <c r="H222" s="32"/>
      <c r="I222" s="31"/>
      <c r="J222" s="31"/>
      <c r="K222" s="31"/>
      <c r="L222" s="103">
        <f t="shared" si="28"/>
        <v>0</v>
      </c>
    </row>
    <row r="223" spans="1:12" s="37" customFormat="1" ht="12.75">
      <c r="A223" s="36">
        <v>722</v>
      </c>
      <c r="C223" s="37" t="s">
        <v>335</v>
      </c>
      <c r="D223" s="38">
        <f aca="true" t="shared" si="29" ref="D223:H224">D224</f>
        <v>750076680.06</v>
      </c>
      <c r="E223" s="38">
        <f t="shared" si="29"/>
        <v>414000000</v>
      </c>
      <c r="F223" s="38">
        <f t="shared" si="29"/>
        <v>479000000</v>
      </c>
      <c r="G223" s="38">
        <f t="shared" si="29"/>
        <v>479000000</v>
      </c>
      <c r="H223" s="41">
        <f t="shared" si="29"/>
        <v>160579006.9</v>
      </c>
      <c r="I223" s="40">
        <f>H223/D223*100</f>
        <v>21.40834546238059</v>
      </c>
      <c r="J223" s="40">
        <f>H223/F223*100</f>
        <v>33.52380102296451</v>
      </c>
      <c r="K223" s="40">
        <f>+H223/$G223*100</f>
        <v>33.52380102296451</v>
      </c>
      <c r="L223" s="104">
        <f t="shared" si="28"/>
        <v>0.01276412441504452</v>
      </c>
    </row>
    <row r="224" spans="1:12" s="37" customFormat="1" ht="12.75">
      <c r="A224" s="36">
        <v>7221</v>
      </c>
      <c r="C224" s="37" t="s">
        <v>336</v>
      </c>
      <c r="D224" s="38">
        <f t="shared" si="29"/>
        <v>750076680.06</v>
      </c>
      <c r="E224" s="38">
        <f t="shared" si="29"/>
        <v>414000000</v>
      </c>
      <c r="F224" s="38">
        <f t="shared" si="29"/>
        <v>479000000</v>
      </c>
      <c r="G224" s="38">
        <f t="shared" si="29"/>
        <v>479000000</v>
      </c>
      <c r="H224" s="41">
        <f t="shared" si="29"/>
        <v>160579006.9</v>
      </c>
      <c r="I224" s="40">
        <f>H224/D224*100</f>
        <v>21.40834546238059</v>
      </c>
      <c r="J224" s="40">
        <f>H224/F224*100</f>
        <v>33.52380102296451</v>
      </c>
      <c r="K224" s="40">
        <f>+H224/$G224*100</f>
        <v>33.52380102296451</v>
      </c>
      <c r="L224" s="104">
        <f t="shared" si="28"/>
        <v>0.01276412441504452</v>
      </c>
    </row>
    <row r="225" spans="1:12" s="43" customFormat="1" ht="12.75" customHeight="1">
      <c r="A225" s="42" t="s">
        <v>337</v>
      </c>
      <c r="C225" s="43" t="s">
        <v>336</v>
      </c>
      <c r="D225" s="44">
        <f>SUM(D226:D228)</f>
        <v>750076680.06</v>
      </c>
      <c r="E225" s="44">
        <f>SUM(E226:E228)</f>
        <v>414000000</v>
      </c>
      <c r="F225" s="44">
        <f>SUM(F226:F228)</f>
        <v>479000000</v>
      </c>
      <c r="G225" s="44">
        <f>SUM(G226:G228)</f>
        <v>479000000</v>
      </c>
      <c r="H225" s="46">
        <f>SUM(H226:H228)</f>
        <v>160579006.9</v>
      </c>
      <c r="I225" s="45">
        <f>H225/D225*100</f>
        <v>21.40834546238059</v>
      </c>
      <c r="J225" s="45">
        <f>H225/F225*100</f>
        <v>33.52380102296451</v>
      </c>
      <c r="K225" s="45">
        <f>+H225/$G225*100</f>
        <v>33.52380102296451</v>
      </c>
      <c r="L225" s="105">
        <f t="shared" si="28"/>
        <v>0.01276412441504452</v>
      </c>
    </row>
    <row r="226" spans="1:12" s="49" customFormat="1" ht="12.75" customHeight="1">
      <c r="A226" s="47" t="s">
        <v>338</v>
      </c>
      <c r="B226" s="48"/>
      <c r="C226" s="49" t="s">
        <v>339</v>
      </c>
      <c r="D226" s="50">
        <v>338147162.8</v>
      </c>
      <c r="E226" s="50">
        <f>250000000+120000000+44000000</f>
        <v>414000000</v>
      </c>
      <c r="F226" s="59">
        <v>479000000</v>
      </c>
      <c r="G226" s="59">
        <v>479000000</v>
      </c>
      <c r="H226" s="52">
        <v>160579006.9</v>
      </c>
      <c r="I226" s="51">
        <f>H226/D226*100</f>
        <v>47.487906025985446</v>
      </c>
      <c r="J226" s="51">
        <f>H226/F226*100</f>
        <v>33.52380102296451</v>
      </c>
      <c r="K226" s="51">
        <f>+H226/$G226*100</f>
        <v>33.52380102296451</v>
      </c>
      <c r="L226" s="106">
        <f t="shared" si="28"/>
        <v>0.01276412441504452</v>
      </c>
    </row>
    <row r="227" spans="1:12" s="49" customFormat="1" ht="10.5">
      <c r="A227" s="47" t="s">
        <v>340</v>
      </c>
      <c r="B227" s="48"/>
      <c r="C227" s="49" t="s">
        <v>341</v>
      </c>
      <c r="D227" s="50">
        <v>411929517.26</v>
      </c>
      <c r="E227" s="50"/>
      <c r="F227" s="50"/>
      <c r="G227" s="50"/>
      <c r="H227" s="52"/>
      <c r="I227" s="51"/>
      <c r="J227" s="51"/>
      <c r="K227" s="51"/>
      <c r="L227" s="106">
        <f t="shared" si="28"/>
        <v>0</v>
      </c>
    </row>
    <row r="228" spans="1:12" s="49" customFormat="1" ht="10.5" hidden="1">
      <c r="A228" s="47" t="s">
        <v>342</v>
      </c>
      <c r="B228" s="48"/>
      <c r="C228" s="49" t="s">
        <v>343</v>
      </c>
      <c r="D228" s="50"/>
      <c r="E228" s="50"/>
      <c r="H228" s="52"/>
      <c r="I228" s="51"/>
      <c r="J228" s="51"/>
      <c r="K228" s="51"/>
      <c r="L228" s="106">
        <f t="shared" si="28"/>
        <v>0</v>
      </c>
    </row>
    <row r="229" spans="1:12" ht="12.75" customHeight="1">
      <c r="A229" s="34"/>
      <c r="D229" s="16"/>
      <c r="E229" s="16"/>
      <c r="H229" s="32"/>
      <c r="I229" s="31"/>
      <c r="J229" s="31"/>
      <c r="K229" s="31"/>
      <c r="L229" s="103"/>
    </row>
    <row r="230" spans="1:12" s="54" customFormat="1" ht="15">
      <c r="A230" s="53">
        <v>73</v>
      </c>
      <c r="C230" s="54" t="s">
        <v>344</v>
      </c>
      <c r="D230" s="20">
        <f>D232</f>
        <v>0</v>
      </c>
      <c r="E230" s="20">
        <f>E232</f>
        <v>30843000</v>
      </c>
      <c r="F230" s="20">
        <f>F232</f>
        <v>30843000</v>
      </c>
      <c r="G230" s="20">
        <f>G232</f>
        <v>30843000</v>
      </c>
      <c r="H230" s="22">
        <f>H232</f>
        <v>25866946.67</v>
      </c>
      <c r="I230" s="21"/>
      <c r="J230" s="21">
        <f>H230/F230*100</f>
        <v>83.86650672762053</v>
      </c>
      <c r="K230" s="21">
        <f>+H230/$G230*100</f>
        <v>83.86650672762053</v>
      </c>
      <c r="L230" s="100">
        <f t="shared" si="28"/>
        <v>0.0020561151292884322</v>
      </c>
    </row>
    <row r="231" spans="1:12" ht="12.75" customHeight="1">
      <c r="A231" s="34"/>
      <c r="D231" s="16"/>
      <c r="E231" s="16"/>
      <c r="H231" s="32"/>
      <c r="I231" s="31"/>
      <c r="J231" s="31"/>
      <c r="K231" s="31"/>
      <c r="L231" s="103"/>
    </row>
    <row r="232" spans="1:12" s="37" customFormat="1" ht="12.75">
      <c r="A232" s="36">
        <v>731</v>
      </c>
      <c r="C232" s="37" t="s">
        <v>345</v>
      </c>
      <c r="D232" s="38">
        <f aca="true" t="shared" si="30" ref="D232:H233">D233</f>
        <v>0</v>
      </c>
      <c r="E232" s="38">
        <f t="shared" si="30"/>
        <v>30843000</v>
      </c>
      <c r="F232" s="38">
        <f t="shared" si="30"/>
        <v>30843000</v>
      </c>
      <c r="G232" s="38">
        <f t="shared" si="30"/>
        <v>30843000</v>
      </c>
      <c r="H232" s="41">
        <f t="shared" si="30"/>
        <v>25866946.67</v>
      </c>
      <c r="I232" s="40"/>
      <c r="J232" s="40">
        <f>H232/F232*100</f>
        <v>83.86650672762053</v>
      </c>
      <c r="K232" s="40">
        <f>+H232/$G232*100</f>
        <v>83.86650672762053</v>
      </c>
      <c r="L232" s="104">
        <f t="shared" si="28"/>
        <v>0.0020561151292884322</v>
      </c>
    </row>
    <row r="233" spans="1:12" s="37" customFormat="1" ht="12.75">
      <c r="A233" s="36">
        <v>7310</v>
      </c>
      <c r="C233" s="37" t="s">
        <v>346</v>
      </c>
      <c r="D233" s="38">
        <f t="shared" si="30"/>
        <v>0</v>
      </c>
      <c r="E233" s="38">
        <f t="shared" si="30"/>
        <v>30843000</v>
      </c>
      <c r="F233" s="38">
        <f t="shared" si="30"/>
        <v>30843000</v>
      </c>
      <c r="G233" s="38">
        <f t="shared" si="30"/>
        <v>30843000</v>
      </c>
      <c r="H233" s="41">
        <f t="shared" si="30"/>
        <v>25866946.67</v>
      </c>
      <c r="I233" s="40"/>
      <c r="J233" s="40">
        <f>H233/F233*100</f>
        <v>83.86650672762053</v>
      </c>
      <c r="K233" s="40">
        <f>+H233/$G233*100</f>
        <v>83.86650672762053</v>
      </c>
      <c r="L233" s="104">
        <f t="shared" si="28"/>
        <v>0.0020561151292884322</v>
      </c>
    </row>
    <row r="234" spans="1:12" s="43" customFormat="1" ht="12.75" customHeight="1">
      <c r="A234" s="42" t="s">
        <v>347</v>
      </c>
      <c r="C234" s="43" t="s">
        <v>348</v>
      </c>
      <c r="D234" s="44"/>
      <c r="E234" s="44">
        <v>30843000</v>
      </c>
      <c r="F234" s="44">
        <v>30843000</v>
      </c>
      <c r="G234" s="44">
        <v>30843000</v>
      </c>
      <c r="H234" s="46">
        <v>25866946.67</v>
      </c>
      <c r="I234" s="45"/>
      <c r="J234" s="45">
        <f>H234/F234*100</f>
        <v>83.86650672762053</v>
      </c>
      <c r="K234" s="45">
        <f>+H234/$G234*100</f>
        <v>83.86650672762053</v>
      </c>
      <c r="L234" s="105">
        <f t="shared" si="28"/>
        <v>0.0020561151292884322</v>
      </c>
    </row>
    <row r="235" spans="1:12" s="43" customFormat="1" ht="12.75" customHeight="1" hidden="1">
      <c r="A235" s="42"/>
      <c r="D235" s="44"/>
      <c r="E235" s="44"/>
      <c r="F235" s="44"/>
      <c r="G235" s="44"/>
      <c r="H235" s="46"/>
      <c r="I235" s="45"/>
      <c r="J235" s="45" t="e">
        <f>H235/F235*100</f>
        <v>#DIV/0!</v>
      </c>
      <c r="K235" s="45" t="e">
        <f>+H235/$G235*100</f>
        <v>#DIV/0!</v>
      </c>
      <c r="L235" s="105">
        <f t="shared" si="28"/>
        <v>0</v>
      </c>
    </row>
    <row r="236" spans="1:12" ht="12.75" customHeight="1">
      <c r="A236" s="34"/>
      <c r="D236" s="16"/>
      <c r="E236" s="16"/>
      <c r="H236" s="32"/>
      <c r="I236" s="31"/>
      <c r="J236" s="31"/>
      <c r="K236" s="31"/>
      <c r="L236" s="103"/>
    </row>
    <row r="237" spans="1:12" s="54" customFormat="1" ht="15">
      <c r="A237" s="53">
        <v>74</v>
      </c>
      <c r="C237" s="54" t="s">
        <v>349</v>
      </c>
      <c r="D237" s="20">
        <f>D239</f>
        <v>677959668.68</v>
      </c>
      <c r="E237" s="20">
        <f>E239</f>
        <v>768168000</v>
      </c>
      <c r="F237" s="20">
        <f>F239</f>
        <v>918334550</v>
      </c>
      <c r="G237" s="20">
        <f>G239</f>
        <v>986911125</v>
      </c>
      <c r="H237" s="22">
        <f>H239</f>
        <v>795235062.62</v>
      </c>
      <c r="I237" s="21">
        <f>H237/D237*100</f>
        <v>117.29828474433258</v>
      </c>
      <c r="J237" s="21">
        <f>H237/F237*100</f>
        <v>86.59535488673491</v>
      </c>
      <c r="K237" s="21">
        <f>+H237/$G237*100</f>
        <v>80.57818404063487</v>
      </c>
      <c r="L237" s="100">
        <f t="shared" si="28"/>
        <v>0.06321174526137513</v>
      </c>
    </row>
    <row r="238" spans="1:12" ht="12.75" customHeight="1">
      <c r="A238" s="34"/>
      <c r="D238" s="16"/>
      <c r="E238" s="16"/>
      <c r="H238" s="32"/>
      <c r="I238" s="31"/>
      <c r="J238" s="31"/>
      <c r="K238" s="31"/>
      <c r="L238" s="103"/>
    </row>
    <row r="239" spans="1:12" s="37" customFormat="1" ht="12.75">
      <c r="A239" s="36">
        <v>740</v>
      </c>
      <c r="C239" s="37" t="s">
        <v>350</v>
      </c>
      <c r="D239" s="38">
        <f>D241+D269</f>
        <v>677959668.68</v>
      </c>
      <c r="E239" s="38">
        <f>E241+E269</f>
        <v>768168000</v>
      </c>
      <c r="F239" s="38">
        <f>F241+F269</f>
        <v>918334550</v>
      </c>
      <c r="G239" s="38">
        <f>G241+G269</f>
        <v>986911125</v>
      </c>
      <c r="H239" s="41">
        <f>H241+H269</f>
        <v>795235062.62</v>
      </c>
      <c r="I239" s="40">
        <f>H239/D239*100</f>
        <v>117.29828474433258</v>
      </c>
      <c r="J239" s="40">
        <f>H239/F239*100</f>
        <v>86.59535488673491</v>
      </c>
      <c r="K239" s="40">
        <f>+H239/$G239*100</f>
        <v>80.57818404063487</v>
      </c>
      <c r="L239" s="104">
        <f t="shared" si="28"/>
        <v>0.06321174526137513</v>
      </c>
    </row>
    <row r="240" spans="1:12" s="37" customFormat="1" ht="12.75">
      <c r="A240" s="36"/>
      <c r="C240" s="37" t="s">
        <v>351</v>
      </c>
      <c r="D240" s="38"/>
      <c r="E240" s="38"/>
      <c r="F240" s="38"/>
      <c r="G240" s="38"/>
      <c r="H240" s="41"/>
      <c r="I240" s="40"/>
      <c r="J240" s="40"/>
      <c r="K240" s="40"/>
      <c r="L240" s="107"/>
    </row>
    <row r="241" spans="1:12" s="37" customFormat="1" ht="12.75">
      <c r="A241" s="36">
        <v>7400</v>
      </c>
      <c r="C241" s="37" t="s">
        <v>352</v>
      </c>
      <c r="D241" s="38">
        <f>D242+D245+D257</f>
        <v>663399308.25</v>
      </c>
      <c r="E241" s="38">
        <f>E242+E245+E257</f>
        <v>675478000</v>
      </c>
      <c r="F241" s="38">
        <f>F242+F245+F257</f>
        <v>733291000</v>
      </c>
      <c r="G241" s="38">
        <f>G242+G245+G257</f>
        <v>801867575</v>
      </c>
      <c r="H241" s="41">
        <f>H242+H245+H257</f>
        <v>734809585.7</v>
      </c>
      <c r="I241" s="40">
        <f aca="true" t="shared" si="31" ref="I241:I248">H241/D241*100</f>
        <v>110.7642978462512</v>
      </c>
      <c r="J241" s="40">
        <f aca="true" t="shared" si="32" ref="J241:J253">H241/F241*100</f>
        <v>100.20709182302798</v>
      </c>
      <c r="K241" s="40">
        <f aca="true" t="shared" si="33" ref="K241:K253">+H241/$G241*100</f>
        <v>91.63727386033786</v>
      </c>
      <c r="L241" s="104">
        <f t="shared" si="28"/>
        <v>0.05840863730763376</v>
      </c>
    </row>
    <row r="242" spans="1:12" s="43" customFormat="1" ht="12.75" customHeight="1">
      <c r="A242" s="42" t="s">
        <v>353</v>
      </c>
      <c r="C242" s="43" t="s">
        <v>354</v>
      </c>
      <c r="D242" s="44">
        <f>SUM(D243:D244)</f>
        <v>564001358</v>
      </c>
      <c r="E242" s="44">
        <f>SUM(E243:E244)</f>
        <v>441563000</v>
      </c>
      <c r="F242" s="44">
        <f>SUM(F243:F244)</f>
        <v>447910000</v>
      </c>
      <c r="G242" s="44">
        <f>SUM(G243:G244)</f>
        <v>447910000</v>
      </c>
      <c r="H242" s="46">
        <f>SUM(H243:H244)</f>
        <v>447910000</v>
      </c>
      <c r="I242" s="45">
        <f t="shared" si="31"/>
        <v>79.41647544756444</v>
      </c>
      <c r="J242" s="45">
        <f t="shared" si="32"/>
        <v>100</v>
      </c>
      <c r="K242" s="45">
        <f t="shared" si="33"/>
        <v>100</v>
      </c>
      <c r="L242" s="105">
        <f t="shared" si="28"/>
        <v>0.03560352674433304</v>
      </c>
    </row>
    <row r="243" spans="1:12" s="49" customFormat="1" ht="12.75" customHeight="1">
      <c r="A243" s="47" t="s">
        <v>355</v>
      </c>
      <c r="B243" s="48"/>
      <c r="C243" s="49" t="s">
        <v>356</v>
      </c>
      <c r="D243" s="50">
        <v>128799358</v>
      </c>
      <c r="E243" s="50"/>
      <c r="F243" s="50">
        <v>6347000</v>
      </c>
      <c r="G243" s="50">
        <v>6347000</v>
      </c>
      <c r="H243" s="52">
        <v>6347000</v>
      </c>
      <c r="I243" s="51">
        <f t="shared" si="31"/>
        <v>4.927819593634931</v>
      </c>
      <c r="J243" s="51">
        <f t="shared" si="32"/>
        <v>100</v>
      </c>
      <c r="K243" s="51">
        <f t="shared" si="33"/>
        <v>100</v>
      </c>
      <c r="L243" s="106">
        <f t="shared" si="28"/>
        <v>0.0005045111389481857</v>
      </c>
    </row>
    <row r="244" spans="1:12" s="49" customFormat="1" ht="10.5">
      <c r="A244" s="47" t="s">
        <v>357</v>
      </c>
      <c r="B244" s="48"/>
      <c r="C244" s="49" t="s">
        <v>358</v>
      </c>
      <c r="D244" s="50">
        <v>435202000</v>
      </c>
      <c r="E244" s="50">
        <v>441563000</v>
      </c>
      <c r="F244" s="50">
        <v>441563000</v>
      </c>
      <c r="G244" s="50">
        <v>441563000</v>
      </c>
      <c r="H244" s="52">
        <v>441563000</v>
      </c>
      <c r="I244" s="51">
        <f t="shared" si="31"/>
        <v>101.46162012123105</v>
      </c>
      <c r="J244" s="51">
        <f t="shared" si="32"/>
        <v>100</v>
      </c>
      <c r="K244" s="51">
        <f t="shared" si="33"/>
        <v>100</v>
      </c>
      <c r="L244" s="106">
        <f t="shared" si="28"/>
        <v>0.03509901560538486</v>
      </c>
    </row>
    <row r="245" spans="1:12" s="43" customFormat="1" ht="12.75" customHeight="1">
      <c r="A245" s="42" t="s">
        <v>359</v>
      </c>
      <c r="C245" s="43" t="s">
        <v>360</v>
      </c>
      <c r="D245" s="44">
        <f>SUM(D246:D256)</f>
        <v>77737443</v>
      </c>
      <c r="E245" s="44">
        <f>SUM(E246:E256)</f>
        <v>210215000</v>
      </c>
      <c r="F245" s="44">
        <f>SUM(F246:F256)</f>
        <v>259771000</v>
      </c>
      <c r="G245" s="44">
        <f>SUM(G246:G256)</f>
        <v>299771000</v>
      </c>
      <c r="H245" s="46">
        <f>SUM(H246:H256)</f>
        <v>242459915</v>
      </c>
      <c r="I245" s="45">
        <f t="shared" si="31"/>
        <v>311.8959225350389</v>
      </c>
      <c r="J245" s="45">
        <f t="shared" si="32"/>
        <v>93.33602095691975</v>
      </c>
      <c r="K245" s="45">
        <f t="shared" si="33"/>
        <v>80.88171137301472</v>
      </c>
      <c r="L245" s="105">
        <f t="shared" si="28"/>
        <v>0.019272684396711877</v>
      </c>
    </row>
    <row r="246" spans="1:12" s="49" customFormat="1" ht="12.75" customHeight="1">
      <c r="A246" s="47" t="s">
        <v>361</v>
      </c>
      <c r="B246" s="48"/>
      <c r="C246" s="49" t="s">
        <v>362</v>
      </c>
      <c r="D246" s="50">
        <v>2500000</v>
      </c>
      <c r="E246" s="50">
        <v>20000000</v>
      </c>
      <c r="F246" s="50">
        <f>10000000</f>
        <v>10000000</v>
      </c>
      <c r="G246" s="50">
        <f>10000000+40000000</f>
        <v>50000000</v>
      </c>
      <c r="H246" s="52">
        <v>30000000</v>
      </c>
      <c r="I246" s="51">
        <f t="shared" si="31"/>
        <v>1200</v>
      </c>
      <c r="J246" s="51">
        <f t="shared" si="32"/>
        <v>300</v>
      </c>
      <c r="K246" s="51">
        <f t="shared" si="33"/>
        <v>60</v>
      </c>
      <c r="L246" s="106">
        <f t="shared" si="28"/>
        <v>0.0023846437952490264</v>
      </c>
    </row>
    <row r="247" spans="1:12" s="49" customFormat="1" ht="10.5">
      <c r="A247" s="47" t="s">
        <v>363</v>
      </c>
      <c r="B247" s="48"/>
      <c r="C247" s="49" t="s">
        <v>364</v>
      </c>
      <c r="D247" s="50">
        <v>21300000</v>
      </c>
      <c r="E247" s="50">
        <v>95000000</v>
      </c>
      <c r="F247" s="50">
        <v>57000000</v>
      </c>
      <c r="G247" s="50">
        <v>57000000</v>
      </c>
      <c r="H247" s="52">
        <v>60636000</v>
      </c>
      <c r="I247" s="51">
        <f t="shared" si="31"/>
        <v>284.67605633802816</v>
      </c>
      <c r="J247" s="51">
        <f t="shared" si="32"/>
        <v>106.37894736842107</v>
      </c>
      <c r="K247" s="51">
        <f t="shared" si="33"/>
        <v>106.37894736842107</v>
      </c>
      <c r="L247" s="106">
        <f t="shared" si="28"/>
        <v>0.004819842038957332</v>
      </c>
    </row>
    <row r="248" spans="1:12" s="49" customFormat="1" ht="10.5">
      <c r="A248" s="47" t="s">
        <v>365</v>
      </c>
      <c r="B248" s="48"/>
      <c r="C248" s="49" t="s">
        <v>366</v>
      </c>
      <c r="D248" s="50">
        <v>13337000</v>
      </c>
      <c r="E248" s="50">
        <f>22000000-22000000</f>
        <v>0</v>
      </c>
      <c r="F248" s="50">
        <v>4000000</v>
      </c>
      <c r="G248" s="50">
        <v>4000000</v>
      </c>
      <c r="H248" s="52">
        <v>0</v>
      </c>
      <c r="I248" s="51">
        <f t="shared" si="31"/>
        <v>0</v>
      </c>
      <c r="J248" s="51">
        <f t="shared" si="32"/>
        <v>0</v>
      </c>
      <c r="K248" s="51">
        <f t="shared" si="33"/>
        <v>0</v>
      </c>
      <c r="L248" s="106">
        <f t="shared" si="28"/>
        <v>0</v>
      </c>
    </row>
    <row r="249" spans="1:12" s="49" customFormat="1" ht="10.5">
      <c r="A249" s="47" t="s">
        <v>367</v>
      </c>
      <c r="B249" s="48"/>
      <c r="C249" s="49" t="s">
        <v>368</v>
      </c>
      <c r="D249" s="50"/>
      <c r="E249" s="50">
        <f>42000000-42000000+33215000</f>
        <v>33215000</v>
      </c>
      <c r="F249" s="50">
        <v>22757500</v>
      </c>
      <c r="G249" s="50">
        <v>22757500</v>
      </c>
      <c r="H249" s="52">
        <v>0</v>
      </c>
      <c r="I249" s="51"/>
      <c r="J249" s="51">
        <f t="shared" si="32"/>
        <v>0</v>
      </c>
      <c r="K249" s="51">
        <f t="shared" si="33"/>
        <v>0</v>
      </c>
      <c r="L249" s="105">
        <f t="shared" si="28"/>
        <v>0</v>
      </c>
    </row>
    <row r="250" spans="1:12" s="49" customFormat="1" ht="10.5" hidden="1">
      <c r="A250" s="47" t="s">
        <v>369</v>
      </c>
      <c r="B250" s="48"/>
      <c r="C250" s="49" t="s">
        <v>370</v>
      </c>
      <c r="D250" s="50"/>
      <c r="E250" s="50"/>
      <c r="F250" s="50"/>
      <c r="G250" s="50"/>
      <c r="H250" s="52"/>
      <c r="I250" s="51"/>
      <c r="J250" s="51" t="e">
        <f t="shared" si="32"/>
        <v>#DIV/0!</v>
      </c>
      <c r="K250" s="51" t="e">
        <f t="shared" si="33"/>
        <v>#DIV/0!</v>
      </c>
      <c r="L250" s="105">
        <f t="shared" si="28"/>
        <v>0</v>
      </c>
    </row>
    <row r="251" spans="1:12" s="49" customFormat="1" ht="10.5">
      <c r="A251" s="47" t="s">
        <v>371</v>
      </c>
      <c r="B251" s="48"/>
      <c r="C251" s="49" t="s">
        <v>372</v>
      </c>
      <c r="D251" s="50"/>
      <c r="E251" s="50"/>
      <c r="F251" s="50">
        <v>16000000</v>
      </c>
      <c r="G251" s="50">
        <v>16000000</v>
      </c>
      <c r="H251" s="52">
        <v>0</v>
      </c>
      <c r="I251" s="51"/>
      <c r="J251" s="51">
        <f t="shared" si="32"/>
        <v>0</v>
      </c>
      <c r="K251" s="51">
        <f t="shared" si="33"/>
        <v>0</v>
      </c>
      <c r="L251" s="106">
        <f t="shared" si="28"/>
        <v>0</v>
      </c>
    </row>
    <row r="252" spans="1:12" s="49" customFormat="1" ht="10.5" hidden="1">
      <c r="A252" s="47" t="s">
        <v>373</v>
      </c>
      <c r="B252" s="48"/>
      <c r="C252" s="49" t="s">
        <v>374</v>
      </c>
      <c r="D252" s="50"/>
      <c r="E252" s="50"/>
      <c r="H252" s="52"/>
      <c r="I252" s="51" t="e">
        <f>H252/D252*100</f>
        <v>#DIV/0!</v>
      </c>
      <c r="J252" s="51" t="e">
        <f t="shared" si="32"/>
        <v>#DIV/0!</v>
      </c>
      <c r="K252" s="51" t="e">
        <f t="shared" si="33"/>
        <v>#DIV/0!</v>
      </c>
      <c r="L252" s="106">
        <f t="shared" si="28"/>
        <v>0</v>
      </c>
    </row>
    <row r="253" spans="1:12" s="49" customFormat="1" ht="10.5">
      <c r="A253" s="47" t="s">
        <v>375</v>
      </c>
      <c r="B253" s="48"/>
      <c r="C253" s="49" t="s">
        <v>376</v>
      </c>
      <c r="D253" s="50">
        <f>35921250+1000000</f>
        <v>36921250</v>
      </c>
      <c r="E253" s="50">
        <f>12000000</f>
        <v>12000000</v>
      </c>
      <c r="F253" s="50">
        <v>142000000</v>
      </c>
      <c r="G253" s="50">
        <v>142000000</v>
      </c>
      <c r="H253" s="52">
        <f>1933912+114114900+1583108+25162705</f>
        <v>142794625</v>
      </c>
      <c r="I253" s="51">
        <f>H253/D253*100</f>
        <v>386.7545790026069</v>
      </c>
      <c r="J253" s="51">
        <f t="shared" si="32"/>
        <v>100.55959507042253</v>
      </c>
      <c r="K253" s="51">
        <f t="shared" si="33"/>
        <v>100.55959507042253</v>
      </c>
      <c r="L253" s="106">
        <f t="shared" si="28"/>
        <v>0.011350477216705384</v>
      </c>
    </row>
    <row r="254" spans="1:12" s="49" customFormat="1" ht="10.5">
      <c r="A254" s="47" t="s">
        <v>377</v>
      </c>
      <c r="B254" s="48"/>
      <c r="C254" s="49" t="s">
        <v>378</v>
      </c>
      <c r="D254" s="50">
        <v>3679193</v>
      </c>
      <c r="E254" s="50"/>
      <c r="H254" s="52">
        <v>1015790</v>
      </c>
      <c r="I254" s="51">
        <f>H254/D254*100</f>
        <v>27.60904361364027</v>
      </c>
      <c r="J254" s="51"/>
      <c r="K254" s="51"/>
      <c r="L254" s="106">
        <f t="shared" si="28"/>
        <v>8.074324402586695E-05</v>
      </c>
    </row>
    <row r="255" spans="1:12" s="49" customFormat="1" ht="10.5">
      <c r="A255" s="47" t="s">
        <v>379</v>
      </c>
      <c r="B255" s="48"/>
      <c r="C255" s="49" t="s">
        <v>380</v>
      </c>
      <c r="D255" s="50"/>
      <c r="E255" s="50">
        <v>50000000</v>
      </c>
      <c r="H255" s="52"/>
      <c r="I255" s="51"/>
      <c r="J255" s="51"/>
      <c r="K255" s="51"/>
      <c r="L255" s="106">
        <f t="shared" si="28"/>
        <v>0</v>
      </c>
    </row>
    <row r="256" spans="1:12" s="49" customFormat="1" ht="10.5">
      <c r="A256" s="47" t="s">
        <v>381</v>
      </c>
      <c r="B256" s="48"/>
      <c r="C256" s="49" t="s">
        <v>382</v>
      </c>
      <c r="D256" s="50"/>
      <c r="E256" s="50"/>
      <c r="F256" s="50">
        <v>8013500</v>
      </c>
      <c r="G256" s="50">
        <v>8013500</v>
      </c>
      <c r="H256" s="52">
        <v>8013500</v>
      </c>
      <c r="I256" s="51"/>
      <c r="J256" s="51">
        <f aca="true" t="shared" si="34" ref="J256:J261">H256/F256*100</f>
        <v>100</v>
      </c>
      <c r="K256" s="51">
        <f aca="true" t="shared" si="35" ref="K256:K267">+H256/$G256*100</f>
        <v>100</v>
      </c>
      <c r="L256" s="105">
        <f t="shared" si="28"/>
        <v>0.0006369781017742691</v>
      </c>
    </row>
    <row r="257" spans="1:12" s="43" customFormat="1" ht="12.75" customHeight="1">
      <c r="A257" s="42" t="s">
        <v>383</v>
      </c>
      <c r="C257" s="43" t="s">
        <v>384</v>
      </c>
      <c r="D257" s="44">
        <f>SUM(D258:D265)</f>
        <v>21660507.25</v>
      </c>
      <c r="E257" s="44">
        <f>SUM(E258:E266)</f>
        <v>23700000</v>
      </c>
      <c r="F257" s="44">
        <f>SUM(F258:F267)</f>
        <v>25610000</v>
      </c>
      <c r="G257" s="44">
        <f>SUM(G258:G267)</f>
        <v>54186575</v>
      </c>
      <c r="H257" s="46">
        <f>SUM(H258:H267)</f>
        <v>44439670.7</v>
      </c>
      <c r="I257" s="45">
        <f>H257/D257*100</f>
        <v>205.16449678250262</v>
      </c>
      <c r="J257" s="45">
        <f t="shared" si="34"/>
        <v>173.52468059351818</v>
      </c>
      <c r="K257" s="45">
        <f t="shared" si="35"/>
        <v>82.01232630037975</v>
      </c>
      <c r="L257" s="105">
        <f t="shared" si="28"/>
        <v>0.003532426166588832</v>
      </c>
    </row>
    <row r="258" spans="1:12" s="49" customFormat="1" ht="12.75" customHeight="1" hidden="1">
      <c r="A258" s="47" t="s">
        <v>385</v>
      </c>
      <c r="B258" s="48"/>
      <c r="C258" s="49" t="s">
        <v>386</v>
      </c>
      <c r="D258" s="50"/>
      <c r="E258" s="50"/>
      <c r="H258" s="52"/>
      <c r="I258" s="51" t="e">
        <f>H258/D258*100</f>
        <v>#DIV/0!</v>
      </c>
      <c r="J258" s="51" t="e">
        <f t="shared" si="34"/>
        <v>#DIV/0!</v>
      </c>
      <c r="K258" s="51" t="e">
        <f t="shared" si="35"/>
        <v>#DIV/0!</v>
      </c>
      <c r="L258" s="105">
        <f t="shared" si="28"/>
        <v>0</v>
      </c>
    </row>
    <row r="259" spans="1:12" s="49" customFormat="1" ht="10.5">
      <c r="A259" s="47" t="s">
        <v>387</v>
      </c>
      <c r="B259" s="48"/>
      <c r="C259" s="49" t="s">
        <v>388</v>
      </c>
      <c r="D259" s="50">
        <v>12294377.9</v>
      </c>
      <c r="E259" s="50">
        <f>8000000+7700000</f>
        <v>15700000</v>
      </c>
      <c r="F259" s="50">
        <v>15700000</v>
      </c>
      <c r="G259" s="50">
        <v>15700000</v>
      </c>
      <c r="H259" s="52">
        <v>10913095.7</v>
      </c>
      <c r="I259" s="51">
        <f>H259/D259*100</f>
        <v>88.76492807334317</v>
      </c>
      <c r="J259" s="51">
        <f t="shared" si="34"/>
        <v>69.51016369426752</v>
      </c>
      <c r="K259" s="51">
        <f t="shared" si="35"/>
        <v>69.51016369426752</v>
      </c>
      <c r="L259" s="106">
        <f t="shared" si="28"/>
        <v>0.0008674615315987943</v>
      </c>
    </row>
    <row r="260" spans="1:12" s="49" customFormat="1" ht="10.5" hidden="1">
      <c r="A260" s="47" t="s">
        <v>389</v>
      </c>
      <c r="B260" s="48"/>
      <c r="C260" s="49" t="s">
        <v>390</v>
      </c>
      <c r="D260" s="50"/>
      <c r="E260" s="50"/>
      <c r="F260" s="50"/>
      <c r="G260" s="50"/>
      <c r="H260" s="52"/>
      <c r="I260" s="51" t="e">
        <f>H260/D260*100</f>
        <v>#DIV/0!</v>
      </c>
      <c r="J260" s="51" t="e">
        <f t="shared" si="34"/>
        <v>#DIV/0!</v>
      </c>
      <c r="K260" s="51" t="e">
        <f t="shared" si="35"/>
        <v>#DIV/0!</v>
      </c>
      <c r="L260" s="106">
        <f t="shared" si="28"/>
        <v>0</v>
      </c>
    </row>
    <row r="261" spans="1:12" s="49" customFormat="1" ht="10.5">
      <c r="A261" s="47" t="s">
        <v>391</v>
      </c>
      <c r="B261" s="48"/>
      <c r="C261" s="49" t="s">
        <v>392</v>
      </c>
      <c r="D261" s="50">
        <v>5000000</v>
      </c>
      <c r="E261" s="50">
        <v>5000000</v>
      </c>
      <c r="F261" s="50">
        <v>4950000</v>
      </c>
      <c r="G261" s="50">
        <v>4950000</v>
      </c>
      <c r="H261" s="52">
        <v>4950000</v>
      </c>
      <c r="I261" s="51">
        <f>H261/D261*100</f>
        <v>99</v>
      </c>
      <c r="J261" s="51">
        <f t="shared" si="34"/>
        <v>100</v>
      </c>
      <c r="K261" s="51">
        <f t="shared" si="35"/>
        <v>100</v>
      </c>
      <c r="L261" s="106">
        <f t="shared" si="28"/>
        <v>0.00039346622621608935</v>
      </c>
    </row>
    <row r="262" spans="1:12" s="49" customFormat="1" ht="10.5">
      <c r="A262" s="47" t="s">
        <v>393</v>
      </c>
      <c r="B262" s="48"/>
      <c r="C262" s="49" t="s">
        <v>394</v>
      </c>
      <c r="D262" s="50"/>
      <c r="E262" s="50">
        <v>3000000</v>
      </c>
      <c r="F262" s="50">
        <v>3000000</v>
      </c>
      <c r="G262" s="50">
        <v>3000000</v>
      </c>
      <c r="H262" s="52">
        <v>0</v>
      </c>
      <c r="I262" s="51"/>
      <c r="J262" s="51"/>
      <c r="K262" s="51"/>
      <c r="L262" s="106">
        <f t="shared" si="28"/>
        <v>0</v>
      </c>
    </row>
    <row r="263" spans="1:12" s="49" customFormat="1" ht="10.5">
      <c r="A263" s="47" t="s">
        <v>395</v>
      </c>
      <c r="B263" s="48"/>
      <c r="C263" s="49" t="s">
        <v>396</v>
      </c>
      <c r="D263" s="50">
        <v>704225.35</v>
      </c>
      <c r="E263" s="50"/>
      <c r="F263" s="50"/>
      <c r="G263" s="50"/>
      <c r="H263" s="52"/>
      <c r="I263" s="51"/>
      <c r="J263" s="51"/>
      <c r="K263" s="51"/>
      <c r="L263" s="106">
        <f t="shared" si="28"/>
        <v>0</v>
      </c>
    </row>
    <row r="264" spans="1:12" s="49" customFormat="1" ht="10.5">
      <c r="A264" s="47" t="s">
        <v>397</v>
      </c>
      <c r="B264" s="48"/>
      <c r="C264" s="49" t="s">
        <v>398</v>
      </c>
      <c r="D264" s="50">
        <f>1070020+591884</f>
        <v>1661904</v>
      </c>
      <c r="E264" s="50"/>
      <c r="H264" s="52"/>
      <c r="I264" s="51"/>
      <c r="J264" s="51"/>
      <c r="K264" s="51"/>
      <c r="L264" s="106">
        <f t="shared" si="28"/>
        <v>0</v>
      </c>
    </row>
    <row r="265" spans="1:12" s="49" customFormat="1" ht="10.5">
      <c r="A265" s="47" t="s">
        <v>399</v>
      </c>
      <c r="B265" s="48"/>
      <c r="C265" s="49" t="s">
        <v>400</v>
      </c>
      <c r="D265" s="50">
        <v>2000000</v>
      </c>
      <c r="E265" s="50"/>
      <c r="F265" s="50"/>
      <c r="G265" s="50"/>
      <c r="H265" s="52"/>
      <c r="I265" s="51"/>
      <c r="J265" s="51"/>
      <c r="K265" s="51"/>
      <c r="L265" s="106">
        <f t="shared" si="28"/>
        <v>0</v>
      </c>
    </row>
    <row r="266" spans="1:12" s="49" customFormat="1" ht="10.5">
      <c r="A266" s="47">
        <v>74000408</v>
      </c>
      <c r="B266" s="48"/>
      <c r="C266" s="49" t="s">
        <v>401</v>
      </c>
      <c r="D266" s="50"/>
      <c r="E266" s="50"/>
      <c r="F266" s="50">
        <v>1960000</v>
      </c>
      <c r="G266" s="50">
        <v>1960000</v>
      </c>
      <c r="H266" s="52">
        <v>0</v>
      </c>
      <c r="I266" s="51"/>
      <c r="J266" s="51"/>
      <c r="K266" s="51"/>
      <c r="L266" s="106">
        <f t="shared" si="28"/>
        <v>0</v>
      </c>
    </row>
    <row r="267" spans="1:12" s="49" customFormat="1" ht="10.5">
      <c r="A267" s="47">
        <v>74000410</v>
      </c>
      <c r="B267" s="48"/>
      <c r="C267" s="49" t="s">
        <v>574</v>
      </c>
      <c r="D267" s="50"/>
      <c r="E267" s="50"/>
      <c r="F267" s="50"/>
      <c r="G267" s="50">
        <v>28576575</v>
      </c>
      <c r="H267" s="52">
        <v>28576575</v>
      </c>
      <c r="I267" s="51"/>
      <c r="J267" s="51"/>
      <c r="K267" s="51">
        <f t="shared" si="35"/>
        <v>100</v>
      </c>
      <c r="L267" s="106">
        <f aca="true" t="shared" si="36" ref="L267:L279">H267/$H$7</f>
        <v>0.002271498408773948</v>
      </c>
    </row>
    <row r="268" spans="1:12" s="43" customFormat="1" ht="12" customHeight="1">
      <c r="A268" s="10"/>
      <c r="D268" s="44"/>
      <c r="E268" s="44"/>
      <c r="H268" s="46"/>
      <c r="I268" s="45"/>
      <c r="J268" s="45"/>
      <c r="K268" s="45"/>
      <c r="L268" s="105"/>
    </row>
    <row r="269" spans="1:12" s="37" customFormat="1" ht="12.75">
      <c r="A269" s="36">
        <v>7401</v>
      </c>
      <c r="C269" s="37" t="s">
        <v>402</v>
      </c>
      <c r="D269" s="38">
        <f>D270+D273</f>
        <v>14560360.43</v>
      </c>
      <c r="E269" s="38">
        <f>E270+E273</f>
        <v>92690000</v>
      </c>
      <c r="F269" s="38">
        <f>F270+F273</f>
        <v>185043550</v>
      </c>
      <c r="G269" s="38">
        <f>G270+G273</f>
        <v>185043550</v>
      </c>
      <c r="H269" s="41">
        <f>H270+H273</f>
        <v>60425476.92</v>
      </c>
      <c r="I269" s="40">
        <f>H269/D269*100</f>
        <v>414.9998704393337</v>
      </c>
      <c r="J269" s="40">
        <f>H269/F269*100</f>
        <v>32.65473285613035</v>
      </c>
      <c r="K269" s="40">
        <f aca="true" t="shared" si="37" ref="K269:K276">+H269/$G269*100</f>
        <v>32.65473285613035</v>
      </c>
      <c r="L269" s="104">
        <f t="shared" si="36"/>
        <v>0.004803107953741375</v>
      </c>
    </row>
    <row r="270" spans="1:12" s="43" customFormat="1" ht="12.75" customHeight="1">
      <c r="A270" s="42" t="s">
        <v>403</v>
      </c>
      <c r="C270" s="43" t="s">
        <v>404</v>
      </c>
      <c r="D270" s="44">
        <f>SUM(D271:D272)</f>
        <v>2031000</v>
      </c>
      <c r="E270" s="44">
        <f>SUM(E271:E272)</f>
        <v>350000</v>
      </c>
      <c r="F270" s="44">
        <f>SUM(F271:F272)</f>
        <v>86822200</v>
      </c>
      <c r="G270" s="44">
        <f>SUM(G271:G272)</f>
        <v>86822200</v>
      </c>
      <c r="H270" s="46">
        <f>SUM(H271:H272)</f>
        <v>4389449.779999999</v>
      </c>
      <c r="I270" s="45">
        <f>H270/D270*100</f>
        <v>216.12258887247657</v>
      </c>
      <c r="J270" s="45">
        <f>H270/F270*100</f>
        <v>5.055676750877079</v>
      </c>
      <c r="K270" s="45">
        <f t="shared" si="37"/>
        <v>5.055676750877079</v>
      </c>
      <c r="L270" s="105">
        <f t="shared" si="36"/>
        <v>0.0003489091394144734</v>
      </c>
    </row>
    <row r="271" spans="1:12" s="49" customFormat="1" ht="12.75" customHeight="1">
      <c r="A271" s="47" t="s">
        <v>405</v>
      </c>
      <c r="B271" s="48"/>
      <c r="C271" s="49" t="s">
        <v>406</v>
      </c>
      <c r="D271" s="50">
        <v>2031000</v>
      </c>
      <c r="E271" s="50">
        <f>3000000-2650000</f>
        <v>350000</v>
      </c>
      <c r="F271" s="50">
        <v>350000</v>
      </c>
      <c r="G271" s="50">
        <v>350000</v>
      </c>
      <c r="H271" s="52">
        <v>300000</v>
      </c>
      <c r="I271" s="51">
        <f>H271/D271*100</f>
        <v>14.771048744460858</v>
      </c>
      <c r="J271" s="51">
        <f>H271/F271*100</f>
        <v>85.71428571428571</v>
      </c>
      <c r="K271" s="51">
        <f t="shared" si="37"/>
        <v>85.71428571428571</v>
      </c>
      <c r="L271" s="106">
        <f t="shared" si="36"/>
        <v>2.3846437952490264E-05</v>
      </c>
    </row>
    <row r="272" spans="1:12" s="49" customFormat="1" ht="10.5">
      <c r="A272" s="47" t="s">
        <v>407</v>
      </c>
      <c r="B272" s="48"/>
      <c r="C272" s="49" t="s">
        <v>408</v>
      </c>
      <c r="D272" s="50"/>
      <c r="E272" s="50"/>
      <c r="F272" s="50">
        <v>86472200</v>
      </c>
      <c r="G272" s="50">
        <v>86472200</v>
      </c>
      <c r="H272" s="52">
        <v>4089449.78</v>
      </c>
      <c r="I272" s="51"/>
      <c r="J272" s="51">
        <f>H272/F272*100</f>
        <v>4.729207514091234</v>
      </c>
      <c r="K272" s="51">
        <f t="shared" si="37"/>
        <v>4.729207514091234</v>
      </c>
      <c r="L272" s="106">
        <f t="shared" si="36"/>
        <v>0.00032506270146198316</v>
      </c>
    </row>
    <row r="273" spans="1:12" s="43" customFormat="1" ht="12.75" customHeight="1">
      <c r="A273" s="42" t="s">
        <v>409</v>
      </c>
      <c r="C273" s="43" t="s">
        <v>410</v>
      </c>
      <c r="D273" s="44">
        <f>SUM(D274:D279)</f>
        <v>12529360.43</v>
      </c>
      <c r="E273" s="44">
        <f>SUM(E274:E279)</f>
        <v>92340000</v>
      </c>
      <c r="F273" s="44">
        <f>SUM(F274:F279)</f>
        <v>98221350</v>
      </c>
      <c r="G273" s="44">
        <f>SUM(G274:G279)</f>
        <v>98221350</v>
      </c>
      <c r="H273" s="46">
        <f>SUM(H274:H279)</f>
        <v>56036027.14</v>
      </c>
      <c r="I273" s="45">
        <f>H273/D273*100</f>
        <v>447.2377297553727</v>
      </c>
      <c r="J273" s="45">
        <f>H273/F273*100</f>
        <v>57.050760491481746</v>
      </c>
      <c r="K273" s="45">
        <f t="shared" si="37"/>
        <v>57.050760491481746</v>
      </c>
      <c r="L273" s="105">
        <f t="shared" si="36"/>
        <v>0.004454198814326901</v>
      </c>
    </row>
    <row r="274" spans="1:12" s="49" customFormat="1" ht="12.75" customHeight="1">
      <c r="A274" s="47" t="s">
        <v>411</v>
      </c>
      <c r="B274" s="48"/>
      <c r="C274" s="49" t="s">
        <v>412</v>
      </c>
      <c r="D274" s="50"/>
      <c r="E274" s="50">
        <v>7000000</v>
      </c>
      <c r="F274" s="50"/>
      <c r="G274" s="50"/>
      <c r="H274" s="52"/>
      <c r="I274" s="51"/>
      <c r="J274" s="51"/>
      <c r="K274" s="51"/>
      <c r="L274" s="105">
        <f t="shared" si="36"/>
        <v>0</v>
      </c>
    </row>
    <row r="275" spans="1:12" s="49" customFormat="1" ht="10.5">
      <c r="A275" s="47" t="s">
        <v>413</v>
      </c>
      <c r="B275" s="48"/>
      <c r="C275" s="49" t="s">
        <v>414</v>
      </c>
      <c r="D275" s="50">
        <f>2162265.74</f>
        <v>2162265.74</v>
      </c>
      <c r="E275" s="50">
        <v>43500000</v>
      </c>
      <c r="F275" s="50">
        <v>50781350</v>
      </c>
      <c r="G275" s="50">
        <v>50781350</v>
      </c>
      <c r="H275" s="52">
        <v>32323027.11</v>
      </c>
      <c r="I275" s="51">
        <f>H275/D275*100</f>
        <v>1494.8683925408723</v>
      </c>
      <c r="J275" s="51">
        <f>H275/F275*100</f>
        <v>63.651374195447744</v>
      </c>
      <c r="K275" s="51">
        <f t="shared" si="37"/>
        <v>63.651374195447744</v>
      </c>
      <c r="L275" s="106">
        <f t="shared" si="36"/>
        <v>0.002569296868050919</v>
      </c>
    </row>
    <row r="276" spans="1:12" s="49" customFormat="1" ht="10.5">
      <c r="A276" s="47" t="s">
        <v>415</v>
      </c>
      <c r="B276" s="48"/>
      <c r="C276" s="49" t="s">
        <v>416</v>
      </c>
      <c r="D276" s="50">
        <v>9572274.94</v>
      </c>
      <c r="E276" s="50">
        <v>10000000</v>
      </c>
      <c r="F276" s="50">
        <v>15600000</v>
      </c>
      <c r="G276" s="50">
        <v>15600000</v>
      </c>
      <c r="H276" s="52">
        <v>13198836.1</v>
      </c>
      <c r="I276" s="51">
        <f>H276/D276*100</f>
        <v>137.88609481791588</v>
      </c>
      <c r="J276" s="51">
        <f>H276/F276*100</f>
        <v>84.60792371794872</v>
      </c>
      <c r="K276" s="51">
        <f t="shared" si="37"/>
        <v>84.60792371794872</v>
      </c>
      <c r="L276" s="106">
        <f t="shared" si="36"/>
        <v>0.0010491507536791287</v>
      </c>
    </row>
    <row r="277" spans="1:12" s="49" customFormat="1" ht="10.5">
      <c r="A277" s="47" t="s">
        <v>417</v>
      </c>
      <c r="B277" s="48"/>
      <c r="C277" s="49" t="s">
        <v>418</v>
      </c>
      <c r="D277" s="50">
        <v>794819.75</v>
      </c>
      <c r="E277" s="50"/>
      <c r="F277" s="50"/>
      <c r="G277" s="50"/>
      <c r="H277" s="52">
        <v>3364563.93</v>
      </c>
      <c r="I277" s="51">
        <f>H277/D277*100</f>
        <v>423.3115659242237</v>
      </c>
      <c r="J277" s="51"/>
      <c r="K277" s="51"/>
      <c r="L277" s="106">
        <f t="shared" si="36"/>
        <v>0.000267442883313106</v>
      </c>
    </row>
    <row r="278" spans="1:12" s="49" customFormat="1" ht="10.5">
      <c r="A278" s="47" t="s">
        <v>419</v>
      </c>
      <c r="B278" s="48"/>
      <c r="C278" s="49" t="s">
        <v>420</v>
      </c>
      <c r="D278" s="50"/>
      <c r="E278" s="50">
        <f>30000000</f>
        <v>30000000</v>
      </c>
      <c r="F278" s="50">
        <v>30000000</v>
      </c>
      <c r="G278" s="50">
        <v>30000000</v>
      </c>
      <c r="H278" s="52">
        <v>7149600</v>
      </c>
      <c r="I278" s="51"/>
      <c r="J278" s="51">
        <f>H278/F278*100</f>
        <v>23.832</v>
      </c>
      <c r="K278" s="51">
        <f>+H278/$G278*100</f>
        <v>23.832</v>
      </c>
      <c r="L278" s="106">
        <f t="shared" si="36"/>
        <v>0.0005683083092837479</v>
      </c>
    </row>
    <row r="279" spans="1:12" s="49" customFormat="1" ht="10.5">
      <c r="A279" s="47" t="s">
        <v>421</v>
      </c>
      <c r="B279" s="48"/>
      <c r="C279" s="49" t="s">
        <v>422</v>
      </c>
      <c r="D279" s="50"/>
      <c r="E279" s="50">
        <v>1840000</v>
      </c>
      <c r="F279" s="50">
        <v>1840000</v>
      </c>
      <c r="G279" s="50">
        <v>1840000</v>
      </c>
      <c r="H279" s="52">
        <v>0</v>
      </c>
      <c r="I279" s="51"/>
      <c r="J279" s="51">
        <f>H279/F279*100</f>
        <v>0</v>
      </c>
      <c r="K279" s="51">
        <f>+H279/$G279*100</f>
        <v>0</v>
      </c>
      <c r="L279" s="106">
        <f t="shared" si="36"/>
        <v>0</v>
      </c>
    </row>
    <row r="280" spans="1:12" s="43" customFormat="1" ht="10.5">
      <c r="A280" s="10"/>
      <c r="B280" s="65"/>
      <c r="D280" s="44"/>
      <c r="E280" s="44"/>
      <c r="H280" s="46"/>
      <c r="I280" s="45"/>
      <c r="J280" s="45"/>
      <c r="K280" s="45"/>
      <c r="L280" s="105"/>
    </row>
    <row r="281" spans="1:12" s="30" customFormat="1" ht="15" hidden="1">
      <c r="A281" s="33">
        <v>79</v>
      </c>
      <c r="C281" s="30" t="s">
        <v>423</v>
      </c>
      <c r="D281" s="66"/>
      <c r="E281" s="66"/>
      <c r="H281" s="68"/>
      <c r="I281" s="67"/>
      <c r="J281" s="67"/>
      <c r="K281" s="67"/>
      <c r="L281" s="109"/>
    </row>
    <row r="282" spans="1:12" ht="15">
      <c r="A282" s="34"/>
      <c r="D282" s="16"/>
      <c r="E282" s="16"/>
      <c r="H282" s="68"/>
      <c r="I282" s="67"/>
      <c r="J282" s="67"/>
      <c r="K282" s="67"/>
      <c r="L282" s="103"/>
    </row>
    <row r="283" spans="1:12" s="54" customFormat="1" ht="15">
      <c r="A283" s="53"/>
      <c r="B283" s="69" t="s">
        <v>424</v>
      </c>
      <c r="C283" s="70" t="s">
        <v>425</v>
      </c>
      <c r="D283" s="20">
        <f>D286+D325+D356+D369</f>
        <v>11440754365.57</v>
      </c>
      <c r="E283" s="20">
        <f>E286+E325+E356+E369</f>
        <v>14806744000</v>
      </c>
      <c r="F283" s="20">
        <f>F286+F325+F356+F369</f>
        <v>16197656975</v>
      </c>
      <c r="G283" s="20">
        <f>G286+G325+G356+G369</f>
        <v>16369715428</v>
      </c>
      <c r="H283" s="22">
        <f>H286+H325+H356+H369</f>
        <v>13750966602.530003</v>
      </c>
      <c r="I283" s="21">
        <f>H283/D283*100</f>
        <v>120.19283137406038</v>
      </c>
      <c r="J283" s="21">
        <f>H283/F283*100</f>
        <v>84.89478832496391</v>
      </c>
      <c r="K283" s="21">
        <f>+H283/$G283*100</f>
        <v>84.00247800892927</v>
      </c>
      <c r="L283" s="100">
        <f>L286+L325+L356+L369</f>
        <v>0.9999999999999999</v>
      </c>
    </row>
    <row r="284" spans="1:12" s="54" customFormat="1" ht="15.75" customHeight="1">
      <c r="A284" s="53"/>
      <c r="C284" s="71" t="s">
        <v>426</v>
      </c>
      <c r="D284" s="20"/>
      <c r="E284" s="20"/>
      <c r="H284" s="22"/>
      <c r="I284" s="21"/>
      <c r="J284" s="21"/>
      <c r="K284" s="21"/>
      <c r="L284" s="100"/>
    </row>
    <row r="285" spans="1:12" ht="12" customHeight="1">
      <c r="A285" s="34"/>
      <c r="D285" s="16"/>
      <c r="E285" s="16"/>
      <c r="H285" s="32"/>
      <c r="I285" s="31"/>
      <c r="J285" s="31"/>
      <c r="K285" s="31"/>
      <c r="L285" s="103"/>
    </row>
    <row r="286" spans="1:12" s="54" customFormat="1" ht="15.75" customHeight="1">
      <c r="A286" s="53">
        <v>40</v>
      </c>
      <c r="C286" s="54" t="s">
        <v>427</v>
      </c>
      <c r="D286" s="20">
        <f>D289+D298+D304+D315+D320</f>
        <v>1842089414.1700003</v>
      </c>
      <c r="E286" s="20">
        <f>E289+E298+E304+E315+E320</f>
        <v>1953814030</v>
      </c>
      <c r="F286" s="20">
        <f>F289+F298+F304+F315+F320</f>
        <v>2083276025</v>
      </c>
      <c r="G286" s="20">
        <f>G289+G298+G304+G315+G320</f>
        <v>2330646086</v>
      </c>
      <c r="H286" s="22">
        <f>H289+H298+H304+H315+H320</f>
        <v>1964678341.9999998</v>
      </c>
      <c r="I286" s="21">
        <f>H286/D286*100</f>
        <v>106.65488476764496</v>
      </c>
      <c r="J286" s="21">
        <f>H286/F286*100</f>
        <v>94.30715461720919</v>
      </c>
      <c r="K286" s="21">
        <f>+H286/$G286*100</f>
        <v>84.29758399620009</v>
      </c>
      <c r="L286" s="100">
        <f>H286/$H$283</f>
        <v>0.14287565367503138</v>
      </c>
    </row>
    <row r="287" spans="1:12" s="63" customFormat="1" ht="12.75">
      <c r="A287" s="72"/>
      <c r="C287" s="73" t="s">
        <v>428</v>
      </c>
      <c r="D287" s="39"/>
      <c r="E287" s="39"/>
      <c r="F287" s="16"/>
      <c r="G287" s="16"/>
      <c r="H287" s="32"/>
      <c r="I287" s="31"/>
      <c r="J287" s="31"/>
      <c r="K287" s="31"/>
      <c r="L287" s="104"/>
    </row>
    <row r="288" spans="1:12" s="26" customFormat="1" ht="12.75" customHeight="1">
      <c r="A288" s="74"/>
      <c r="D288" s="27"/>
      <c r="E288" s="27"/>
      <c r="F288" s="16"/>
      <c r="G288" s="16"/>
      <c r="H288" s="32"/>
      <c r="I288" s="31"/>
      <c r="J288" s="31"/>
      <c r="K288" s="31"/>
      <c r="L288" s="102"/>
    </row>
    <row r="289" spans="1:12" s="37" customFormat="1" ht="12.75">
      <c r="A289" s="36">
        <v>400</v>
      </c>
      <c r="C289" s="37" t="s">
        <v>429</v>
      </c>
      <c r="D289" s="38">
        <f>SUM(D290:D296)</f>
        <v>691709825.1</v>
      </c>
      <c r="E289" s="39">
        <f>SUM(E290:E296)</f>
        <v>765569200</v>
      </c>
      <c r="F289" s="38">
        <f>SUM(F290:F296)</f>
        <v>777983098</v>
      </c>
      <c r="G289" s="38">
        <f>SUM(G290:G296)</f>
        <v>778658332</v>
      </c>
      <c r="H289" s="41">
        <f>SUM(H290:H296)</f>
        <v>737990885.8</v>
      </c>
      <c r="I289" s="40">
        <f aca="true" t="shared" si="38" ref="I289:I296">H289/D289*100</f>
        <v>106.69082019954091</v>
      </c>
      <c r="J289" s="40">
        <f aca="true" t="shared" si="39" ref="J289:J296">H289/F289*100</f>
        <v>94.85950115075636</v>
      </c>
      <c r="K289" s="40">
        <f aca="true" t="shared" si="40" ref="K289:K296">+H289/$G289*100</f>
        <v>94.77724124577915</v>
      </c>
      <c r="L289" s="107">
        <f aca="true" t="shared" si="41" ref="L289:L349">H289/$H$283</f>
        <v>0.05366829162862042</v>
      </c>
    </row>
    <row r="290" spans="1:12" s="43" customFormat="1" ht="10.5">
      <c r="A290" s="10">
        <v>4000</v>
      </c>
      <c r="C290" s="43" t="s">
        <v>430</v>
      </c>
      <c r="D290" s="44">
        <v>592562698.7</v>
      </c>
      <c r="E290" s="44">
        <v>652733100</v>
      </c>
      <c r="F290" s="44">
        <v>665509099</v>
      </c>
      <c r="G290" s="44">
        <v>666184333</v>
      </c>
      <c r="H290" s="46">
        <v>633463288</v>
      </c>
      <c r="I290" s="45">
        <f t="shared" si="38"/>
        <v>106.90232263855457</v>
      </c>
      <c r="J290" s="45">
        <f t="shared" si="39"/>
        <v>95.18476741367589</v>
      </c>
      <c r="K290" s="45">
        <f t="shared" si="40"/>
        <v>95.0882896250879</v>
      </c>
      <c r="L290" s="105">
        <f t="shared" si="41"/>
        <v>0.0460668188870047</v>
      </c>
    </row>
    <row r="291" spans="1:12" s="43" customFormat="1" ht="10.5">
      <c r="A291" s="10">
        <v>4001</v>
      </c>
      <c r="C291" s="43" t="s">
        <v>431</v>
      </c>
      <c r="D291" s="44">
        <v>24620691</v>
      </c>
      <c r="E291" s="44">
        <v>26932300</v>
      </c>
      <c r="F291" s="44">
        <v>27007500</v>
      </c>
      <c r="G291" s="44">
        <v>27007500</v>
      </c>
      <c r="H291" s="46">
        <v>26655284</v>
      </c>
      <c r="I291" s="45">
        <f t="shared" si="38"/>
        <v>108.26375262985104</v>
      </c>
      <c r="J291" s="45">
        <f t="shared" si="39"/>
        <v>98.69585855780801</v>
      </c>
      <c r="K291" s="45">
        <f t="shared" si="40"/>
        <v>98.69585855780801</v>
      </c>
      <c r="L291" s="105">
        <f t="shared" si="41"/>
        <v>0.0019384298406408585</v>
      </c>
    </row>
    <row r="292" spans="1:12" s="43" customFormat="1" ht="10.5">
      <c r="A292" s="10">
        <v>4002</v>
      </c>
      <c r="C292" s="43" t="s">
        <v>432</v>
      </c>
      <c r="D292" s="44">
        <v>44853127</v>
      </c>
      <c r="E292" s="44">
        <v>51746800</v>
      </c>
      <c r="F292" s="44">
        <v>51388600</v>
      </c>
      <c r="G292" s="44">
        <v>51388600</v>
      </c>
      <c r="H292" s="46">
        <v>48818240</v>
      </c>
      <c r="I292" s="45">
        <f t="shared" si="38"/>
        <v>108.84021530984897</v>
      </c>
      <c r="J292" s="45">
        <f t="shared" si="39"/>
        <v>94.99819026009659</v>
      </c>
      <c r="K292" s="45">
        <f t="shared" si="40"/>
        <v>94.99819026009659</v>
      </c>
      <c r="L292" s="105">
        <f t="shared" si="41"/>
        <v>0.0035501678835448604</v>
      </c>
    </row>
    <row r="293" spans="1:12" s="43" customFormat="1" ht="10.5">
      <c r="A293" s="10">
        <v>4003</v>
      </c>
      <c r="C293" s="43" t="s">
        <v>433</v>
      </c>
      <c r="D293" s="44">
        <v>14848633.9</v>
      </c>
      <c r="E293" s="44">
        <v>22196500</v>
      </c>
      <c r="F293" s="44">
        <v>22117399</v>
      </c>
      <c r="G293" s="44">
        <v>22117399</v>
      </c>
      <c r="H293" s="46">
        <v>18065124.8</v>
      </c>
      <c r="I293" s="45">
        <f t="shared" si="38"/>
        <v>121.66186412609986</v>
      </c>
      <c r="J293" s="45">
        <f t="shared" si="39"/>
        <v>81.67834201480925</v>
      </c>
      <c r="K293" s="45">
        <f t="shared" si="40"/>
        <v>81.67834201480925</v>
      </c>
      <c r="L293" s="105">
        <f t="shared" si="41"/>
        <v>0.0013137349047648947</v>
      </c>
    </row>
    <row r="294" spans="1:12" s="43" customFormat="1" ht="10.5">
      <c r="A294" s="10">
        <v>4004</v>
      </c>
      <c r="C294" s="43" t="s">
        <v>434</v>
      </c>
      <c r="D294" s="44">
        <v>6246706.2</v>
      </c>
      <c r="E294" s="44">
        <v>6590000</v>
      </c>
      <c r="F294" s="44">
        <v>6590000</v>
      </c>
      <c r="G294" s="44">
        <v>6590000</v>
      </c>
      <c r="H294" s="46">
        <v>7380143.4</v>
      </c>
      <c r="I294" s="45">
        <f t="shared" si="38"/>
        <v>118.14455752697317</v>
      </c>
      <c r="J294" s="45">
        <f t="shared" si="39"/>
        <v>111.9900364188164</v>
      </c>
      <c r="K294" s="45">
        <f t="shared" si="40"/>
        <v>111.9900364188164</v>
      </c>
      <c r="L294" s="105">
        <f t="shared" si="41"/>
        <v>0.0005366999726871672</v>
      </c>
    </row>
    <row r="295" spans="1:12" s="43" customFormat="1" ht="10.5" hidden="1">
      <c r="A295" s="10">
        <v>4005</v>
      </c>
      <c r="C295" s="43" t="s">
        <v>435</v>
      </c>
      <c r="D295" s="44"/>
      <c r="E295" s="44">
        <v>0</v>
      </c>
      <c r="H295" s="46"/>
      <c r="I295" s="45" t="e">
        <f t="shared" si="38"/>
        <v>#DIV/0!</v>
      </c>
      <c r="J295" s="45" t="e">
        <f t="shared" si="39"/>
        <v>#DIV/0!</v>
      </c>
      <c r="K295" s="45" t="e">
        <f t="shared" si="40"/>
        <v>#DIV/0!</v>
      </c>
      <c r="L295" s="105">
        <f t="shared" si="41"/>
        <v>0</v>
      </c>
    </row>
    <row r="296" spans="1:12" s="43" customFormat="1" ht="10.5">
      <c r="A296" s="10">
        <v>4009</v>
      </c>
      <c r="C296" s="43" t="s">
        <v>436</v>
      </c>
      <c r="D296" s="44">
        <v>8577968.3</v>
      </c>
      <c r="E296" s="44">
        <v>5370500</v>
      </c>
      <c r="F296" s="44">
        <v>5370500</v>
      </c>
      <c r="G296" s="44">
        <v>5370500</v>
      </c>
      <c r="H296" s="46">
        <v>3608805.6</v>
      </c>
      <c r="I296" s="45">
        <f t="shared" si="38"/>
        <v>42.070633438922826</v>
      </c>
      <c r="J296" s="45">
        <f t="shared" si="39"/>
        <v>67.19682711106974</v>
      </c>
      <c r="K296" s="45">
        <f t="shared" si="40"/>
        <v>67.19682711106974</v>
      </c>
      <c r="L296" s="105">
        <f t="shared" si="41"/>
        <v>0.00026244013997794353</v>
      </c>
    </row>
    <row r="297" spans="1:12" ht="12.75">
      <c r="A297" s="34"/>
      <c r="D297" s="16"/>
      <c r="E297" s="16"/>
      <c r="H297" s="32"/>
      <c r="I297" s="31"/>
      <c r="J297" s="31"/>
      <c r="K297" s="31"/>
      <c r="L297" s="103"/>
    </row>
    <row r="298" spans="1:12" s="37" customFormat="1" ht="12.75">
      <c r="A298" s="36">
        <v>401</v>
      </c>
      <c r="C298" s="37" t="s">
        <v>437</v>
      </c>
      <c r="D298" s="38">
        <f>SUM(D299:D302)</f>
        <v>97813103.30000001</v>
      </c>
      <c r="E298" s="39">
        <f>SUM(E299:E302)</f>
        <v>108361800</v>
      </c>
      <c r="F298" s="38">
        <f>SUM(F299:F302)</f>
        <v>110379402</v>
      </c>
      <c r="G298" s="38">
        <f>SUM(G299:G302)</f>
        <v>110479412</v>
      </c>
      <c r="H298" s="41">
        <f>SUM(H299:H302)</f>
        <v>104829992.2</v>
      </c>
      <c r="I298" s="40">
        <f>H298/D298*100</f>
        <v>107.17377188052062</v>
      </c>
      <c r="J298" s="40">
        <f>H298/F298*100</f>
        <v>94.97242266269933</v>
      </c>
      <c r="K298" s="40">
        <f>+H298/$G298*100</f>
        <v>94.8864501559802</v>
      </c>
      <c r="L298" s="107">
        <f t="shared" si="41"/>
        <v>0.007623463515700243</v>
      </c>
    </row>
    <row r="299" spans="1:12" s="43" customFormat="1" ht="10.5">
      <c r="A299" s="10">
        <v>4010</v>
      </c>
      <c r="C299" s="43" t="s">
        <v>438</v>
      </c>
      <c r="D299" s="44">
        <v>54443142.6</v>
      </c>
      <c r="E299" s="44">
        <v>60314500</v>
      </c>
      <c r="F299" s="44">
        <v>61437002</v>
      </c>
      <c r="G299" s="44">
        <v>61492668</v>
      </c>
      <c r="H299" s="46">
        <v>58348781.8</v>
      </c>
      <c r="I299" s="45">
        <f>H299/D299*100</f>
        <v>107.17379455608426</v>
      </c>
      <c r="J299" s="45">
        <f>H299/F299*100</f>
        <v>94.97335465685646</v>
      </c>
      <c r="K299" s="45">
        <f>+H299/$G299*100</f>
        <v>94.8873803946838</v>
      </c>
      <c r="L299" s="105">
        <f t="shared" si="41"/>
        <v>0.004243249473768962</v>
      </c>
    </row>
    <row r="300" spans="1:12" s="43" customFormat="1" ht="10.5">
      <c r="A300" s="10">
        <v>4011</v>
      </c>
      <c r="C300" s="43" t="s">
        <v>439</v>
      </c>
      <c r="D300" s="44">
        <v>42385679.8</v>
      </c>
      <c r="E300" s="44">
        <v>46956600</v>
      </c>
      <c r="F300" s="44">
        <v>47831400</v>
      </c>
      <c r="G300" s="44">
        <v>47874738</v>
      </c>
      <c r="H300" s="46">
        <v>45426319</v>
      </c>
      <c r="I300" s="45">
        <f>H300/D300*100</f>
        <v>107.17374173151755</v>
      </c>
      <c r="J300" s="45">
        <f>H300/F300*100</f>
        <v>94.9717528652726</v>
      </c>
      <c r="K300" s="45">
        <f>+H300/$G300*100</f>
        <v>94.88578088928654</v>
      </c>
      <c r="L300" s="105">
        <f t="shared" si="41"/>
        <v>0.0033035000602533744</v>
      </c>
    </row>
    <row r="301" spans="1:12" s="43" customFormat="1" ht="10.5">
      <c r="A301" s="10">
        <v>4012</v>
      </c>
      <c r="C301" s="43" t="s">
        <v>440</v>
      </c>
      <c r="D301" s="44">
        <v>369108.4</v>
      </c>
      <c r="E301" s="44">
        <v>409000</v>
      </c>
      <c r="F301" s="44">
        <v>416600</v>
      </c>
      <c r="G301" s="44">
        <v>416977</v>
      </c>
      <c r="H301" s="46">
        <v>395586.9</v>
      </c>
      <c r="I301" s="45">
        <f>H301/D301*100</f>
        <v>107.17363787982066</v>
      </c>
      <c r="J301" s="45">
        <f>H301/F301*100</f>
        <v>94.95604896783486</v>
      </c>
      <c r="K301" s="45">
        <f>+H301/$G301*100</f>
        <v>94.8701966775146</v>
      </c>
      <c r="L301" s="105">
        <f t="shared" si="41"/>
        <v>2.8767934024886444E-05</v>
      </c>
    </row>
    <row r="302" spans="1:12" s="43" customFormat="1" ht="10.5">
      <c r="A302" s="10">
        <v>4013</v>
      </c>
      <c r="C302" s="43" t="s">
        <v>441</v>
      </c>
      <c r="D302" s="44">
        <v>615172.5</v>
      </c>
      <c r="E302" s="44">
        <v>681700</v>
      </c>
      <c r="F302" s="44">
        <v>694400</v>
      </c>
      <c r="G302" s="44">
        <v>695029</v>
      </c>
      <c r="H302" s="46">
        <v>659304.5</v>
      </c>
      <c r="I302" s="45">
        <f>H302/D302*100</f>
        <v>107.17392276150186</v>
      </c>
      <c r="J302" s="45">
        <f>H302/F302*100</f>
        <v>94.9459245391705</v>
      </c>
      <c r="K302" s="45">
        <f>+H302/$G302*100</f>
        <v>94.85999864753845</v>
      </c>
      <c r="L302" s="105">
        <f t="shared" si="41"/>
        <v>4.794604765302072E-05</v>
      </c>
    </row>
    <row r="303" spans="1:12" ht="12.75">
      <c r="A303" s="34"/>
      <c r="D303" s="16"/>
      <c r="E303" s="16"/>
      <c r="H303" s="32"/>
      <c r="I303" s="31"/>
      <c r="J303" s="31"/>
      <c r="K303" s="31"/>
      <c r="L303" s="103"/>
    </row>
    <row r="304" spans="1:12" s="37" customFormat="1" ht="12.75">
      <c r="A304" s="36">
        <v>402</v>
      </c>
      <c r="C304" s="37" t="s">
        <v>442</v>
      </c>
      <c r="D304" s="38">
        <f>SUM(D305:D313)</f>
        <v>990438418.13</v>
      </c>
      <c r="E304" s="39">
        <f>SUM(E305:E313)</f>
        <v>1008152600</v>
      </c>
      <c r="F304" s="38">
        <f>SUM(F305:F313)</f>
        <v>1103233700</v>
      </c>
      <c r="G304" s="38">
        <f>SUM(G305:G313)</f>
        <v>1361628918</v>
      </c>
      <c r="H304" s="41">
        <f>SUM(H305:H313)</f>
        <v>1094542718.08</v>
      </c>
      <c r="I304" s="40">
        <f aca="true" t="shared" si="42" ref="I304:I313">H304/D304*100</f>
        <v>110.51093112346695</v>
      </c>
      <c r="J304" s="40">
        <f aca="true" t="shared" si="43" ref="J304:J313">H304/F304*100</f>
        <v>99.21222657357185</v>
      </c>
      <c r="K304" s="40">
        <f aca="true" t="shared" si="44" ref="K304:K313">+H304/$G304*100</f>
        <v>80.38480261477525</v>
      </c>
      <c r="L304" s="107">
        <f t="shared" si="41"/>
        <v>0.07959751119449436</v>
      </c>
    </row>
    <row r="305" spans="1:12" s="43" customFormat="1" ht="10.5">
      <c r="A305" s="10">
        <v>4020</v>
      </c>
      <c r="C305" s="43" t="s">
        <v>443</v>
      </c>
      <c r="D305" s="44">
        <v>248380484.59</v>
      </c>
      <c r="E305" s="44">
        <v>290095700</v>
      </c>
      <c r="F305" s="44">
        <v>313569900</v>
      </c>
      <c r="G305" s="44">
        <v>312178670</v>
      </c>
      <c r="H305" s="46">
        <f>292118424.25+900</f>
        <v>292119324.25</v>
      </c>
      <c r="I305" s="45">
        <f t="shared" si="42"/>
        <v>117.60961201609676</v>
      </c>
      <c r="J305" s="45">
        <f t="shared" si="43"/>
        <v>93.15923634570792</v>
      </c>
      <c r="K305" s="45">
        <f t="shared" si="44"/>
        <v>93.57440220050908</v>
      </c>
      <c r="L305" s="105">
        <f t="shared" si="41"/>
        <v>0.021243548376901285</v>
      </c>
    </row>
    <row r="306" spans="1:12" s="43" customFormat="1" ht="10.5">
      <c r="A306" s="10">
        <v>4021</v>
      </c>
      <c r="C306" s="43" t="s">
        <v>444</v>
      </c>
      <c r="D306" s="44">
        <v>7606329.56</v>
      </c>
      <c r="E306" s="44">
        <v>9921200</v>
      </c>
      <c r="F306" s="44">
        <v>12921200</v>
      </c>
      <c r="G306" s="44">
        <v>12688460</v>
      </c>
      <c r="H306" s="46">
        <v>3522397.08</v>
      </c>
      <c r="I306" s="45">
        <f t="shared" si="42"/>
        <v>46.308762356597136</v>
      </c>
      <c r="J306" s="45">
        <f t="shared" si="43"/>
        <v>27.2606033495341</v>
      </c>
      <c r="K306" s="45">
        <f t="shared" si="44"/>
        <v>27.760635096772972</v>
      </c>
      <c r="L306" s="105">
        <f t="shared" si="41"/>
        <v>0.00025615632571981695</v>
      </c>
    </row>
    <row r="307" spans="1:12" s="43" customFormat="1" ht="10.5">
      <c r="A307" s="10">
        <v>4022</v>
      </c>
      <c r="C307" s="43" t="s">
        <v>445</v>
      </c>
      <c r="D307" s="44">
        <v>248362406.89</v>
      </c>
      <c r="E307" s="44">
        <v>96762300</v>
      </c>
      <c r="F307" s="44">
        <v>97212300</v>
      </c>
      <c r="G307" s="44">
        <v>280779169</v>
      </c>
      <c r="H307" s="46">
        <f>262173937.68-3937.77</f>
        <v>262169999.91</v>
      </c>
      <c r="I307" s="45">
        <f t="shared" si="42"/>
        <v>105.55945370029991</v>
      </c>
      <c r="J307" s="45">
        <f t="shared" si="43"/>
        <v>269.6880949324314</v>
      </c>
      <c r="K307" s="45">
        <f t="shared" si="44"/>
        <v>93.37231135903818</v>
      </c>
      <c r="L307" s="105">
        <f t="shared" si="41"/>
        <v>0.019065568806033176</v>
      </c>
    </row>
    <row r="308" spans="1:12" s="43" customFormat="1" ht="10.5">
      <c r="A308" s="10">
        <v>4023</v>
      </c>
      <c r="C308" s="43" t="s">
        <v>446</v>
      </c>
      <c r="D308" s="44">
        <v>13225518.99</v>
      </c>
      <c r="E308" s="44">
        <v>12150000</v>
      </c>
      <c r="F308" s="44">
        <v>12600000</v>
      </c>
      <c r="G308" s="44">
        <v>13931434</v>
      </c>
      <c r="H308" s="46">
        <v>15023400.38</v>
      </c>
      <c r="I308" s="45">
        <f t="shared" si="42"/>
        <v>113.59403280400113</v>
      </c>
      <c r="J308" s="45">
        <f t="shared" si="43"/>
        <v>119.23333634920637</v>
      </c>
      <c r="K308" s="45">
        <f t="shared" si="44"/>
        <v>107.83814774559461</v>
      </c>
      <c r="L308" s="105">
        <f t="shared" si="41"/>
        <v>0.0010925341333630966</v>
      </c>
    </row>
    <row r="309" spans="1:12" s="43" customFormat="1" ht="10.5">
      <c r="A309" s="10">
        <v>4024</v>
      </c>
      <c r="C309" s="43" t="s">
        <v>447</v>
      </c>
      <c r="D309" s="44">
        <v>8241755.77</v>
      </c>
      <c r="E309" s="44">
        <v>16291000</v>
      </c>
      <c r="F309" s="44">
        <v>16191000</v>
      </c>
      <c r="G309" s="44">
        <f>23580100+40000+100000</f>
        <v>23720100</v>
      </c>
      <c r="H309" s="46">
        <f>14005531.98+4812-4812</f>
        <v>14005531.98</v>
      </c>
      <c r="I309" s="45">
        <f t="shared" si="42"/>
        <v>169.93383898829123</v>
      </c>
      <c r="J309" s="45">
        <f t="shared" si="43"/>
        <v>86.50195775430795</v>
      </c>
      <c r="K309" s="45">
        <f t="shared" si="44"/>
        <v>59.04499551013698</v>
      </c>
      <c r="L309" s="105">
        <f t="shared" si="41"/>
        <v>0.0010185125442325749</v>
      </c>
    </row>
    <row r="310" spans="1:12" s="43" customFormat="1" ht="10.5">
      <c r="A310" s="10">
        <v>4025</v>
      </c>
      <c r="C310" s="43" t="s">
        <v>448</v>
      </c>
      <c r="D310" s="44">
        <v>79282389.93</v>
      </c>
      <c r="E310" s="44">
        <v>102819000</v>
      </c>
      <c r="F310" s="44">
        <v>102943000</v>
      </c>
      <c r="G310" s="44">
        <v>136484515</v>
      </c>
      <c r="H310" s="46">
        <v>88230437.04</v>
      </c>
      <c r="I310" s="45">
        <f t="shared" si="42"/>
        <v>111.28629840485435</v>
      </c>
      <c r="J310" s="45">
        <f t="shared" si="43"/>
        <v>85.708049153415</v>
      </c>
      <c r="K310" s="45">
        <f t="shared" si="44"/>
        <v>64.64501635222135</v>
      </c>
      <c r="L310" s="105">
        <f t="shared" si="41"/>
        <v>0.006416308001487454</v>
      </c>
    </row>
    <row r="311" spans="1:12" s="43" customFormat="1" ht="10.5">
      <c r="A311" s="10">
        <v>4026</v>
      </c>
      <c r="C311" s="43" t="s">
        <v>449</v>
      </c>
      <c r="D311" s="44">
        <v>61558035.47</v>
      </c>
      <c r="E311" s="44">
        <v>54600000</v>
      </c>
      <c r="F311" s="44">
        <v>56500000</v>
      </c>
      <c r="G311" s="44">
        <v>70616155</v>
      </c>
      <c r="H311" s="46">
        <v>68126788.67</v>
      </c>
      <c r="I311" s="45">
        <f t="shared" si="42"/>
        <v>110.6708298110021</v>
      </c>
      <c r="J311" s="45">
        <f t="shared" si="43"/>
        <v>120.57838702654868</v>
      </c>
      <c r="K311" s="45">
        <f t="shared" si="44"/>
        <v>96.47479202174064</v>
      </c>
      <c r="L311" s="105">
        <f t="shared" si="41"/>
        <v>0.00495432725852636</v>
      </c>
    </row>
    <row r="312" spans="1:12" s="43" customFormat="1" ht="10.5">
      <c r="A312" s="10">
        <v>4027</v>
      </c>
      <c r="C312" s="43" t="s">
        <v>450</v>
      </c>
      <c r="D312" s="44">
        <v>104245553.31</v>
      </c>
      <c r="E312" s="44">
        <v>180203000</v>
      </c>
      <c r="F312" s="44">
        <v>225203000</v>
      </c>
      <c r="G312" s="44">
        <v>216946647</v>
      </c>
      <c r="H312" s="46">
        <v>141646301.06</v>
      </c>
      <c r="I312" s="45">
        <f t="shared" si="42"/>
        <v>135.87754735089717</v>
      </c>
      <c r="J312" s="45">
        <f t="shared" si="43"/>
        <v>62.897164362819325</v>
      </c>
      <c r="K312" s="45">
        <f t="shared" si="44"/>
        <v>65.29084593780333</v>
      </c>
      <c r="L312" s="105">
        <f t="shared" si="41"/>
        <v>0.01030082503683333</v>
      </c>
    </row>
    <row r="313" spans="1:12" s="43" customFormat="1" ht="10.5">
      <c r="A313" s="10">
        <v>4029</v>
      </c>
      <c r="C313" s="43" t="s">
        <v>451</v>
      </c>
      <c r="D313" s="44">
        <v>219535943.62</v>
      </c>
      <c r="E313" s="44">
        <v>245310400</v>
      </c>
      <c r="F313" s="44">
        <v>266093300</v>
      </c>
      <c r="G313" s="44">
        <v>294283768</v>
      </c>
      <c r="H313" s="46">
        <v>209698537.71</v>
      </c>
      <c r="I313" s="45">
        <f t="shared" si="42"/>
        <v>95.51899987410363</v>
      </c>
      <c r="J313" s="45">
        <f t="shared" si="43"/>
        <v>78.80639524181932</v>
      </c>
      <c r="K313" s="45">
        <f t="shared" si="44"/>
        <v>71.2572559251722</v>
      </c>
      <c r="L313" s="105">
        <f t="shared" si="41"/>
        <v>0.015249730711397274</v>
      </c>
    </row>
    <row r="314" spans="1:12" ht="12.75">
      <c r="A314" s="34"/>
      <c r="D314" s="16"/>
      <c r="E314" s="16"/>
      <c r="H314" s="32"/>
      <c r="I314" s="31"/>
      <c r="J314" s="31"/>
      <c r="K314" s="31"/>
      <c r="L314" s="103"/>
    </row>
    <row r="315" spans="1:12" s="37" customFormat="1" ht="12.75">
      <c r="A315" s="36">
        <v>403</v>
      </c>
      <c r="C315" s="37" t="s">
        <v>452</v>
      </c>
      <c r="D315" s="38">
        <f>SUM(D316:D317)</f>
        <v>3476084.14</v>
      </c>
      <c r="E315" s="39">
        <f>SUM(E316:E317)</f>
        <v>23100000</v>
      </c>
      <c r="F315" s="38">
        <f>SUM(F316:F317)</f>
        <v>43100000</v>
      </c>
      <c r="G315" s="38">
        <f>SUM(G316:G317)</f>
        <v>43100000</v>
      </c>
      <c r="H315" s="41">
        <f>SUM(H316:H318)</f>
        <v>895705.8400000001</v>
      </c>
      <c r="I315" s="40">
        <f>H315/D315*100</f>
        <v>25.767668558218503</v>
      </c>
      <c r="J315" s="40">
        <f>H315/F315*100</f>
        <v>2.0782038051044083</v>
      </c>
      <c r="K315" s="40">
        <f>+H315/$G315*100</f>
        <v>2.0782038051044083</v>
      </c>
      <c r="L315" s="107">
        <f t="shared" si="41"/>
        <v>6.51376638377699E-05</v>
      </c>
    </row>
    <row r="316" spans="1:12" s="43" customFormat="1" ht="10.5">
      <c r="A316" s="10">
        <v>4031</v>
      </c>
      <c r="C316" s="43" t="s">
        <v>453</v>
      </c>
      <c r="D316" s="44">
        <v>1739470.58</v>
      </c>
      <c r="E316" s="44">
        <v>200000</v>
      </c>
      <c r="F316" s="44">
        <v>200000</v>
      </c>
      <c r="G316" s="44">
        <v>200000</v>
      </c>
      <c r="H316" s="46">
        <v>175627.2</v>
      </c>
      <c r="I316" s="45">
        <f>H316/D316*100</f>
        <v>10.096589273731782</v>
      </c>
      <c r="J316" s="45">
        <f>H316/F316*100</f>
        <v>87.81360000000001</v>
      </c>
      <c r="K316" s="45">
        <f>+H316/$G316*100</f>
        <v>87.81360000000001</v>
      </c>
      <c r="L316" s="105">
        <f t="shared" si="41"/>
        <v>1.2771989422742605E-05</v>
      </c>
    </row>
    <row r="317" spans="1:12" s="43" customFormat="1" ht="10.5">
      <c r="A317" s="10">
        <v>4033</v>
      </c>
      <c r="C317" s="43" t="s">
        <v>454</v>
      </c>
      <c r="D317" s="44">
        <v>1736613.56</v>
      </c>
      <c r="E317" s="44">
        <v>22900000</v>
      </c>
      <c r="F317" s="44">
        <v>42900000</v>
      </c>
      <c r="G317" s="44">
        <v>42900000</v>
      </c>
      <c r="H317" s="46">
        <v>720078.64</v>
      </c>
      <c r="I317" s="45">
        <f>H317/D317*100</f>
        <v>41.46452939132872</v>
      </c>
      <c r="J317" s="45">
        <f>H317/F317*100</f>
        <v>1.6785049883449883</v>
      </c>
      <c r="K317" s="45">
        <f>+H317/$G317*100</f>
        <v>1.6785049883449883</v>
      </c>
      <c r="L317" s="105">
        <f t="shared" si="41"/>
        <v>5.236567441502729E-05</v>
      </c>
    </row>
    <row r="318" spans="1:12" s="43" customFormat="1" ht="12.75" hidden="1">
      <c r="A318" s="10">
        <v>4034</v>
      </c>
      <c r="C318" s="43" t="s">
        <v>455</v>
      </c>
      <c r="D318" s="44"/>
      <c r="E318" s="44"/>
      <c r="F318" s="16"/>
      <c r="G318" s="16"/>
      <c r="H318" s="46"/>
      <c r="I318" s="45" t="e">
        <f>H318/D318*100</f>
        <v>#DIV/0!</v>
      </c>
      <c r="J318" s="45" t="e">
        <f>H318/F318*100</f>
        <v>#DIV/0!</v>
      </c>
      <c r="K318" s="45" t="e">
        <f>+H318/$G318*100</f>
        <v>#DIV/0!</v>
      </c>
      <c r="L318" s="105">
        <f t="shared" si="41"/>
        <v>0</v>
      </c>
    </row>
    <row r="319" spans="1:12" ht="12.75">
      <c r="A319" s="34"/>
      <c r="D319" s="16"/>
      <c r="E319" s="16"/>
      <c r="H319" s="32"/>
      <c r="I319" s="31"/>
      <c r="J319" s="31"/>
      <c r="K319" s="31"/>
      <c r="L319" s="103"/>
    </row>
    <row r="320" spans="1:12" s="37" customFormat="1" ht="12.75">
      <c r="A320" s="36">
        <v>409</v>
      </c>
      <c r="C320" s="37" t="s">
        <v>456</v>
      </c>
      <c r="D320" s="38">
        <f>SUM(D321:D323)</f>
        <v>58651983.5</v>
      </c>
      <c r="E320" s="39">
        <f>SUM(E321:E323)</f>
        <v>48630430</v>
      </c>
      <c r="F320" s="38">
        <f>SUM(F321:F323)</f>
        <v>48579825</v>
      </c>
      <c r="G320" s="38">
        <f>SUM(G321:G323)</f>
        <v>36779424</v>
      </c>
      <c r="H320" s="41">
        <f>SUM(H321:H323)</f>
        <v>26419040.08</v>
      </c>
      <c r="I320" s="40">
        <f>H320/D320*100</f>
        <v>45.04372828243737</v>
      </c>
      <c r="J320" s="40">
        <f>H320/F320*100</f>
        <v>54.382740324815906</v>
      </c>
      <c r="K320" s="40">
        <f>+H320/$G320*100</f>
        <v>71.83103269915266</v>
      </c>
      <c r="L320" s="107">
        <f t="shared" si="41"/>
        <v>0.0019212496723786116</v>
      </c>
    </row>
    <row r="321" spans="1:12" s="43" customFormat="1" ht="10.5">
      <c r="A321" s="10">
        <v>4090</v>
      </c>
      <c r="C321" s="43" t="s">
        <v>457</v>
      </c>
      <c r="D321" s="44"/>
      <c r="E321" s="44">
        <v>22630430</v>
      </c>
      <c r="F321" s="44">
        <v>22579825</v>
      </c>
      <c r="G321" s="44">
        <v>10779424</v>
      </c>
      <c r="H321" s="46"/>
      <c r="I321" s="45"/>
      <c r="J321" s="45"/>
      <c r="K321" s="45"/>
      <c r="L321" s="105">
        <f t="shared" si="41"/>
        <v>0</v>
      </c>
    </row>
    <row r="322" spans="1:12" s="43" customFormat="1" ht="10.5">
      <c r="A322" s="10">
        <v>4091</v>
      </c>
      <c r="C322" s="43" t="s">
        <v>458</v>
      </c>
      <c r="D322" s="44">
        <v>58651983.5</v>
      </c>
      <c r="E322" s="44">
        <v>26000000</v>
      </c>
      <c r="F322" s="44">
        <v>26000000</v>
      </c>
      <c r="G322" s="44">
        <v>26000000</v>
      </c>
      <c r="H322" s="46">
        <f>25580801.84+838238.24</f>
        <v>26419040.08</v>
      </c>
      <c r="I322" s="45">
        <f>H322/D322*100</f>
        <v>45.04372828243737</v>
      </c>
      <c r="J322" s="45">
        <f>H322/F322*100</f>
        <v>101.61169261538461</v>
      </c>
      <c r="K322" s="45">
        <f>+H322/$G322*100</f>
        <v>101.61169261538461</v>
      </c>
      <c r="L322" s="105">
        <f t="shared" si="41"/>
        <v>0.0019212496723786116</v>
      </c>
    </row>
    <row r="323" spans="1:12" s="43" customFormat="1" ht="12.75" hidden="1">
      <c r="A323" s="10">
        <v>4092</v>
      </c>
      <c r="C323" s="43" t="s">
        <v>459</v>
      </c>
      <c r="D323" s="44"/>
      <c r="E323" s="44"/>
      <c r="F323" s="16"/>
      <c r="G323" s="16"/>
      <c r="H323" s="32"/>
      <c r="I323" s="31" t="e">
        <f>H323/D323*100</f>
        <v>#DIV/0!</v>
      </c>
      <c r="J323" s="31" t="e">
        <f>H323/F323*100</f>
        <v>#DIV/0!</v>
      </c>
      <c r="K323" s="31" t="e">
        <f>+H323/$G323*100</f>
        <v>#DIV/0!</v>
      </c>
      <c r="L323" s="105">
        <f t="shared" si="41"/>
        <v>0</v>
      </c>
    </row>
    <row r="324" spans="1:12" ht="12.75">
      <c r="A324" s="34"/>
      <c r="D324" s="16"/>
      <c r="E324" s="16"/>
      <c r="H324" s="32"/>
      <c r="I324" s="31"/>
      <c r="J324" s="31"/>
      <c r="K324" s="31"/>
      <c r="L324" s="103"/>
    </row>
    <row r="325" spans="1:12" s="54" customFormat="1" ht="15.75" customHeight="1">
      <c r="A325" s="53">
        <v>41</v>
      </c>
      <c r="C325" s="54" t="s">
        <v>460</v>
      </c>
      <c r="D325" s="20">
        <f>D328+D333+D341+D345+D351</f>
        <v>6211002938.76</v>
      </c>
      <c r="E325" s="20">
        <f>E328+E333+E341+E345+E351</f>
        <v>6533546070</v>
      </c>
      <c r="F325" s="20">
        <f>F328+F333+F341+F345+F351</f>
        <v>7041346850</v>
      </c>
      <c r="G325" s="20">
        <f>G328+G333+G341+G345+G351</f>
        <v>7016460722</v>
      </c>
      <c r="H325" s="22">
        <f>H328+H333+H341+H345+H351</f>
        <v>6984100024.790001</v>
      </c>
      <c r="I325" s="21">
        <f>H325/D325*100</f>
        <v>112.44721816512853</v>
      </c>
      <c r="J325" s="21">
        <f>H325/F325*100</f>
        <v>99.18699040922833</v>
      </c>
      <c r="K325" s="21">
        <f>+H325/$G325*100</f>
        <v>99.53878887815145</v>
      </c>
      <c r="L325" s="100">
        <f t="shared" si="41"/>
        <v>0.5078988427988048</v>
      </c>
    </row>
    <row r="326" spans="1:12" s="37" customFormat="1" ht="12.75">
      <c r="A326" s="36"/>
      <c r="C326" s="35" t="s">
        <v>461</v>
      </c>
      <c r="D326" s="38"/>
      <c r="E326" s="38"/>
      <c r="F326" s="16"/>
      <c r="G326" s="16"/>
      <c r="H326" s="32"/>
      <c r="I326" s="31"/>
      <c r="J326" s="31"/>
      <c r="K326" s="31"/>
      <c r="L326" s="107"/>
    </row>
    <row r="327" spans="1:12" ht="12.75">
      <c r="A327" s="34"/>
      <c r="D327" s="16"/>
      <c r="E327" s="16"/>
      <c r="H327" s="32"/>
      <c r="I327" s="31"/>
      <c r="J327" s="31"/>
      <c r="K327" s="31"/>
      <c r="L327" s="103"/>
    </row>
    <row r="328" spans="1:12" s="37" customFormat="1" ht="12.75">
      <c r="A328" s="36">
        <v>410</v>
      </c>
      <c r="C328" s="37" t="s">
        <v>462</v>
      </c>
      <c r="D328" s="38">
        <f>SUM(D329:D331)</f>
        <v>81236212.11</v>
      </c>
      <c r="E328" s="38">
        <f>SUM(E329:E331)</f>
        <v>182945900</v>
      </c>
      <c r="F328" s="38">
        <f>SUM(F329:F331)</f>
        <v>177485100</v>
      </c>
      <c r="G328" s="38">
        <f>SUM(G329:G331)</f>
        <v>71223430</v>
      </c>
      <c r="H328" s="41">
        <f>SUM(H329:H331)</f>
        <v>87761452.94</v>
      </c>
      <c r="I328" s="40">
        <f>H328/D328*100</f>
        <v>108.03242871684407</v>
      </c>
      <c r="J328" s="40">
        <f>H328/F328*100</f>
        <v>49.447222859834426</v>
      </c>
      <c r="K328" s="40">
        <f>+H328/$G328*100</f>
        <v>123.21991925971551</v>
      </c>
      <c r="L328" s="107">
        <f t="shared" si="41"/>
        <v>0.006382202464505514</v>
      </c>
    </row>
    <row r="329" spans="1:12" s="43" customFormat="1" ht="10.5">
      <c r="A329" s="10">
        <v>4100</v>
      </c>
      <c r="C329" s="43" t="s">
        <v>463</v>
      </c>
      <c r="D329" s="44"/>
      <c r="E329" s="44">
        <v>70500000</v>
      </c>
      <c r="F329" s="44">
        <v>64140000</v>
      </c>
      <c r="G329" s="44"/>
      <c r="H329" s="46"/>
      <c r="I329" s="45"/>
      <c r="J329" s="45"/>
      <c r="K329" s="45"/>
      <c r="L329" s="105"/>
    </row>
    <row r="330" spans="1:12" s="43" customFormat="1" ht="10.5" hidden="1">
      <c r="A330" s="10">
        <v>4101</v>
      </c>
      <c r="C330" s="43" t="s">
        <v>464</v>
      </c>
      <c r="D330" s="44"/>
      <c r="E330" s="44"/>
      <c r="F330" s="44"/>
      <c r="G330" s="44"/>
      <c r="H330" s="46"/>
      <c r="I330" s="45" t="e">
        <f>H330/D330*100</f>
        <v>#DIV/0!</v>
      </c>
      <c r="J330" s="45" t="e">
        <f>H330/F330*100</f>
        <v>#DIV/0!</v>
      </c>
      <c r="K330" s="45" t="e">
        <f>+H330/$G330*100</f>
        <v>#DIV/0!</v>
      </c>
      <c r="L330" s="105">
        <f t="shared" si="41"/>
        <v>0</v>
      </c>
    </row>
    <row r="331" spans="1:12" s="43" customFormat="1" ht="10.5">
      <c r="A331" s="10">
        <v>4102</v>
      </c>
      <c r="C331" s="43" t="s">
        <v>465</v>
      </c>
      <c r="D331" s="44">
        <v>81236212.11</v>
      </c>
      <c r="E331" s="44">
        <v>112445900</v>
      </c>
      <c r="F331" s="44">
        <v>113345100</v>
      </c>
      <c r="G331" s="44">
        <v>71223430</v>
      </c>
      <c r="H331" s="46">
        <v>87761452.94</v>
      </c>
      <c r="I331" s="45">
        <f>H331/D331*100</f>
        <v>108.03242871684407</v>
      </c>
      <c r="J331" s="45">
        <f>H331/F331*100</f>
        <v>77.42853721951809</v>
      </c>
      <c r="K331" s="45">
        <f>+H331/$G331*100</f>
        <v>123.21991925971551</v>
      </c>
      <c r="L331" s="105">
        <f t="shared" si="41"/>
        <v>0.006382202464505514</v>
      </c>
    </row>
    <row r="332" spans="1:12" ht="12.75">
      <c r="A332" s="34"/>
      <c r="D332" s="16"/>
      <c r="E332" s="16"/>
      <c r="H332" s="32"/>
      <c r="I332" s="31"/>
      <c r="J332" s="31"/>
      <c r="K332" s="31"/>
      <c r="L332" s="103"/>
    </row>
    <row r="333" spans="1:12" s="37" customFormat="1" ht="12.75">
      <c r="A333" s="36">
        <v>411</v>
      </c>
      <c r="C333" s="37" t="s">
        <v>466</v>
      </c>
      <c r="D333" s="38">
        <f>SUM(D334:D339)</f>
        <v>341932123.90000004</v>
      </c>
      <c r="E333" s="38">
        <f>SUM(E334:E339)</f>
        <v>2204935600</v>
      </c>
      <c r="F333" s="38">
        <f>SUM(F334:F339)</f>
        <v>2214652700</v>
      </c>
      <c r="G333" s="38">
        <f>SUM(G334:G339)</f>
        <v>351877930</v>
      </c>
      <c r="H333" s="41">
        <f>SUM(H334:H339)</f>
        <v>337909504.18</v>
      </c>
      <c r="I333" s="40">
        <f>H333/D333*100</f>
        <v>98.82356191804416</v>
      </c>
      <c r="J333" s="40">
        <f>H333/F333*100</f>
        <v>15.257900445519065</v>
      </c>
      <c r="K333" s="40">
        <f aca="true" t="shared" si="45" ref="K333:K339">+H333/$G333*100</f>
        <v>96.03032056599857</v>
      </c>
      <c r="L333" s="107">
        <f t="shared" si="41"/>
        <v>0.02457350919009788</v>
      </c>
    </row>
    <row r="334" spans="1:12" s="43" customFormat="1" ht="12.75" hidden="1">
      <c r="A334" s="10">
        <v>4110</v>
      </c>
      <c r="C334" s="43" t="s">
        <v>467</v>
      </c>
      <c r="D334" s="44"/>
      <c r="E334" s="44"/>
      <c r="F334" s="44"/>
      <c r="G334" s="44"/>
      <c r="H334" s="32"/>
      <c r="I334" s="31" t="e">
        <f>H334/D334*100</f>
        <v>#DIV/0!</v>
      </c>
      <c r="J334" s="31" t="e">
        <f>H334/F334*100</f>
        <v>#DIV/0!</v>
      </c>
      <c r="K334" s="31" t="e">
        <f t="shared" si="45"/>
        <v>#DIV/0!</v>
      </c>
      <c r="L334" s="105">
        <f t="shared" si="41"/>
        <v>0</v>
      </c>
    </row>
    <row r="335" spans="1:12" s="43" customFormat="1" ht="12.75" hidden="1">
      <c r="A335" s="10">
        <v>4111</v>
      </c>
      <c r="C335" s="43" t="s">
        <v>468</v>
      </c>
      <c r="D335" s="44"/>
      <c r="E335" s="44"/>
      <c r="F335" s="44"/>
      <c r="G335" s="44"/>
      <c r="H335" s="32"/>
      <c r="I335" s="31" t="e">
        <f>H335/D335*100</f>
        <v>#DIV/0!</v>
      </c>
      <c r="J335" s="31" t="e">
        <f>H335/F335*100</f>
        <v>#DIV/0!</v>
      </c>
      <c r="K335" s="31" t="e">
        <f t="shared" si="45"/>
        <v>#DIV/0!</v>
      </c>
      <c r="L335" s="105">
        <f t="shared" si="41"/>
        <v>0</v>
      </c>
    </row>
    <row r="336" spans="1:12" s="43" customFormat="1" ht="12.75">
      <c r="A336" s="10">
        <v>4112</v>
      </c>
      <c r="C336" s="43" t="s">
        <v>469</v>
      </c>
      <c r="D336" s="44">
        <v>12273611.4</v>
      </c>
      <c r="E336" s="44"/>
      <c r="F336" s="44"/>
      <c r="G336" s="44"/>
      <c r="H336" s="32"/>
      <c r="I336" s="31"/>
      <c r="J336" s="31"/>
      <c r="K336" s="31"/>
      <c r="L336" s="105">
        <f t="shared" si="41"/>
        <v>0</v>
      </c>
    </row>
    <row r="337" spans="1:12" s="43" customFormat="1" ht="12.75" hidden="1">
      <c r="A337" s="10">
        <v>4113</v>
      </c>
      <c r="C337" s="43" t="s">
        <v>470</v>
      </c>
      <c r="D337" s="44"/>
      <c r="E337" s="44"/>
      <c r="F337" s="44"/>
      <c r="G337" s="44"/>
      <c r="H337" s="32"/>
      <c r="I337" s="31"/>
      <c r="J337" s="31"/>
      <c r="K337" s="31"/>
      <c r="L337" s="105">
        <f t="shared" si="41"/>
        <v>0</v>
      </c>
    </row>
    <row r="338" spans="1:12" s="43" customFormat="1" ht="12.75">
      <c r="A338" s="10">
        <v>4117</v>
      </c>
      <c r="C338" s="43" t="s">
        <v>471</v>
      </c>
      <c r="D338" s="44">
        <v>394613.2</v>
      </c>
      <c r="E338" s="44"/>
      <c r="F338" s="44"/>
      <c r="G338" s="44"/>
      <c r="H338" s="32"/>
      <c r="I338" s="31"/>
      <c r="J338" s="31"/>
      <c r="K338" s="31"/>
      <c r="L338" s="105">
        <f t="shared" si="41"/>
        <v>0</v>
      </c>
    </row>
    <row r="339" spans="1:12" s="43" customFormat="1" ht="10.5">
      <c r="A339" s="10">
        <v>4119</v>
      </c>
      <c r="C339" s="43" t="s">
        <v>472</v>
      </c>
      <c r="D339" s="44">
        <v>329263899.3</v>
      </c>
      <c r="E339" s="44">
        <v>2204935600</v>
      </c>
      <c r="F339" s="44">
        <v>2214652700</v>
      </c>
      <c r="G339" s="44">
        <v>351877930</v>
      </c>
      <c r="H339" s="46">
        <v>337909504.18</v>
      </c>
      <c r="I339" s="45">
        <f>H339/D339*100</f>
        <v>102.62573725767695</v>
      </c>
      <c r="J339" s="45">
        <f>H339/F339*100</f>
        <v>15.257900445519065</v>
      </c>
      <c r="K339" s="45">
        <f t="shared" si="45"/>
        <v>96.03032056599857</v>
      </c>
      <c r="L339" s="105">
        <f t="shared" si="41"/>
        <v>0.02457350919009788</v>
      </c>
    </row>
    <row r="340" spans="1:12" ht="12.75">
      <c r="A340" s="34"/>
      <c r="D340" s="16"/>
      <c r="E340" s="16"/>
      <c r="H340" s="32"/>
      <c r="I340" s="31"/>
      <c r="J340" s="31"/>
      <c r="K340" s="31"/>
      <c r="L340" s="103"/>
    </row>
    <row r="341" spans="1:12" s="37" customFormat="1" ht="12.75">
      <c r="A341" s="36">
        <v>412</v>
      </c>
      <c r="C341" s="37" t="s">
        <v>473</v>
      </c>
      <c r="D341" s="38">
        <f>D343</f>
        <v>144988337.83</v>
      </c>
      <c r="E341" s="38">
        <f>E343</f>
        <v>505411270</v>
      </c>
      <c r="F341" s="38">
        <f>F343</f>
        <v>520200450</v>
      </c>
      <c r="G341" s="38">
        <f>G343</f>
        <v>535879641</v>
      </c>
      <c r="H341" s="41">
        <f>H343</f>
        <v>539180471.76</v>
      </c>
      <c r="I341" s="40">
        <f>H341/D341*100</f>
        <v>371.87851094078576</v>
      </c>
      <c r="J341" s="40">
        <f>H341/F341*100</f>
        <v>103.64859772035953</v>
      </c>
      <c r="K341" s="40">
        <f>+H341/$G341*100</f>
        <v>100.61596494948759</v>
      </c>
      <c r="L341" s="107">
        <f t="shared" si="41"/>
        <v>0.03921036879405973</v>
      </c>
    </row>
    <row r="342" spans="1:12" s="37" customFormat="1" ht="12.75">
      <c r="A342" s="36"/>
      <c r="C342" s="37" t="s">
        <v>474</v>
      </c>
      <c r="D342" s="38"/>
      <c r="E342" s="38"/>
      <c r="F342" s="16"/>
      <c r="G342" s="16"/>
      <c r="H342" s="32"/>
      <c r="I342" s="31"/>
      <c r="J342" s="31"/>
      <c r="K342" s="31"/>
      <c r="L342" s="107"/>
    </row>
    <row r="343" spans="1:12" s="43" customFormat="1" ht="10.5">
      <c r="A343" s="10">
        <v>4120</v>
      </c>
      <c r="C343" s="43" t="s">
        <v>475</v>
      </c>
      <c r="D343" s="44">
        <v>144988337.83</v>
      </c>
      <c r="E343" s="44">
        <v>505411270</v>
      </c>
      <c r="F343" s="44">
        <v>520200450</v>
      </c>
      <c r="G343" s="44">
        <v>535879641</v>
      </c>
      <c r="H343" s="46">
        <v>539180471.76</v>
      </c>
      <c r="I343" s="45">
        <f>H343/D343*100</f>
        <v>371.87851094078576</v>
      </c>
      <c r="J343" s="45">
        <f>H343/F343*100</f>
        <v>103.64859772035953</v>
      </c>
      <c r="K343" s="45">
        <f>+H343/$G343*100</f>
        <v>100.61596494948759</v>
      </c>
      <c r="L343" s="105">
        <f t="shared" si="41"/>
        <v>0.03921036879405973</v>
      </c>
    </row>
    <row r="344" spans="1:12" ht="12.75">
      <c r="A344" s="34"/>
      <c r="D344" s="16"/>
      <c r="E344" s="16"/>
      <c r="H344" s="32"/>
      <c r="I344" s="31"/>
      <c r="J344" s="31"/>
      <c r="K344" s="31"/>
      <c r="L344" s="103"/>
    </row>
    <row r="345" spans="1:12" s="37" customFormat="1" ht="12.75">
      <c r="A345" s="36">
        <v>413</v>
      </c>
      <c r="C345" s="37" t="s">
        <v>476</v>
      </c>
      <c r="D345" s="38">
        <f>SUM(D346:D349)</f>
        <v>5642612912.81</v>
      </c>
      <c r="E345" s="38">
        <f>SUM(E346:E349)</f>
        <v>3640053300</v>
      </c>
      <c r="F345" s="38">
        <f>SUM(F346:F349)</f>
        <v>4128808600</v>
      </c>
      <c r="G345" s="38">
        <f>SUM(G346:G349)</f>
        <v>6057279721</v>
      </c>
      <c r="H345" s="41">
        <f>SUM(H346:H349)</f>
        <v>6005120641.630001</v>
      </c>
      <c r="I345" s="40">
        <f>H345/D345*100</f>
        <v>106.42446565840137</v>
      </c>
      <c r="J345" s="40">
        <f>H345/F345*100</f>
        <v>145.44439385322926</v>
      </c>
      <c r="K345" s="40">
        <f>+H345/$G345*100</f>
        <v>99.13890258049058</v>
      </c>
      <c r="L345" s="107">
        <f t="shared" si="41"/>
        <v>0.4367053469917624</v>
      </c>
    </row>
    <row r="346" spans="1:12" s="43" customFormat="1" ht="10.5">
      <c r="A346" s="10">
        <v>4130</v>
      </c>
      <c r="C346" s="43" t="s">
        <v>477</v>
      </c>
      <c r="D346" s="44">
        <v>48329990.04</v>
      </c>
      <c r="E346" s="44">
        <v>36500000</v>
      </c>
      <c r="F346" s="44">
        <v>36500000</v>
      </c>
      <c r="G346" s="44">
        <v>36032966</v>
      </c>
      <c r="H346" s="46">
        <v>31550046.5</v>
      </c>
      <c r="I346" s="45">
        <f>H346/D346*100</f>
        <v>65.28047382978521</v>
      </c>
      <c r="J346" s="45">
        <f>H346/F346*100</f>
        <v>86.43848356164384</v>
      </c>
      <c r="K346" s="45">
        <f>+H346/$G346*100</f>
        <v>87.55883848140617</v>
      </c>
      <c r="L346" s="105">
        <f t="shared" si="41"/>
        <v>0.0022943875446686923</v>
      </c>
    </row>
    <row r="347" spans="1:12" s="43" customFormat="1" ht="10.5">
      <c r="A347" s="10">
        <v>4131</v>
      </c>
      <c r="C347" s="43" t="s">
        <v>478</v>
      </c>
      <c r="D347" s="44">
        <v>127430600</v>
      </c>
      <c r="E347" s="44">
        <v>133836400</v>
      </c>
      <c r="F347" s="44">
        <v>133836400</v>
      </c>
      <c r="G347" s="44">
        <v>130000000</v>
      </c>
      <c r="H347" s="46">
        <v>129549580</v>
      </c>
      <c r="I347" s="45">
        <f>H347/D347*100</f>
        <v>101.66285021023207</v>
      </c>
      <c r="J347" s="45">
        <f>H347/F347*100</f>
        <v>96.79697003206901</v>
      </c>
      <c r="K347" s="45">
        <f>+H347/$G347*100</f>
        <v>99.65352307692308</v>
      </c>
      <c r="L347" s="105">
        <f t="shared" si="41"/>
        <v>0.009421125346647597</v>
      </c>
    </row>
    <row r="348" spans="1:12" s="43" customFormat="1" ht="10.5">
      <c r="A348" s="10">
        <v>4132</v>
      </c>
      <c r="C348" s="43" t="s">
        <v>479</v>
      </c>
      <c r="D348" s="44">
        <v>457028800.5</v>
      </c>
      <c r="E348" s="44">
        <v>384720000</v>
      </c>
      <c r="F348" s="44">
        <v>457300000</v>
      </c>
      <c r="G348" s="44">
        <v>448319400</v>
      </c>
      <c r="H348" s="46">
        <v>380827092.29</v>
      </c>
      <c r="I348" s="45">
        <f>H348/D348*100</f>
        <v>83.32671636303148</v>
      </c>
      <c r="J348" s="45">
        <f>H348/F348*100</f>
        <v>83.27729986660836</v>
      </c>
      <c r="K348" s="45">
        <f>+H348/$G348*100</f>
        <v>84.94548580543247</v>
      </c>
      <c r="L348" s="105">
        <f t="shared" si="41"/>
        <v>0.027694568919971973</v>
      </c>
    </row>
    <row r="349" spans="1:12" s="43" customFormat="1" ht="10.5">
      <c r="A349" s="10">
        <v>4133</v>
      </c>
      <c r="C349" s="43" t="s">
        <v>480</v>
      </c>
      <c r="D349" s="44">
        <v>5009823522.27</v>
      </c>
      <c r="E349" s="44">
        <v>3084996900</v>
      </c>
      <c r="F349" s="44">
        <v>3501172200</v>
      </c>
      <c r="G349" s="44">
        <v>5442927355</v>
      </c>
      <c r="H349" s="46">
        <f>5478493229.81-15391792.82+92485.85</f>
        <v>5463193922.840001</v>
      </c>
      <c r="I349" s="45">
        <f>H349/D349*100</f>
        <v>109.04962816663397</v>
      </c>
      <c r="J349" s="45">
        <f>H349/F349*100</f>
        <v>156.03899524964814</v>
      </c>
      <c r="K349" s="45">
        <f>+H349/$G349*100</f>
        <v>100.37234683687967</v>
      </c>
      <c r="L349" s="105">
        <f t="shared" si="41"/>
        <v>0.39729526518047414</v>
      </c>
    </row>
    <row r="350" spans="1:12" ht="12.75">
      <c r="A350" s="34"/>
      <c r="D350" s="16"/>
      <c r="E350" s="16"/>
      <c r="H350" s="32"/>
      <c r="I350" s="31"/>
      <c r="J350" s="31"/>
      <c r="K350" s="31"/>
      <c r="L350" s="103"/>
    </row>
    <row r="351" spans="1:12" s="37" customFormat="1" ht="12.75">
      <c r="A351" s="36">
        <v>414</v>
      </c>
      <c r="C351" s="37" t="s">
        <v>481</v>
      </c>
      <c r="D351" s="38">
        <f>SUM(D352:D354)</f>
        <v>233352.11000000002</v>
      </c>
      <c r="E351" s="38">
        <f>E354</f>
        <v>200000</v>
      </c>
      <c r="F351" s="38">
        <f>F354</f>
        <v>200000</v>
      </c>
      <c r="G351" s="38">
        <f>G354</f>
        <v>200000</v>
      </c>
      <c r="H351" s="41">
        <f>SUM(H353:H354)</f>
        <v>14127954.280000001</v>
      </c>
      <c r="I351" s="40">
        <f>H351/D351*100</f>
        <v>6054.350346349986</v>
      </c>
      <c r="J351" s="40">
        <f>H351/F351*100</f>
        <v>7063.97714</v>
      </c>
      <c r="K351" s="40">
        <f>+H351/$G351*100</f>
        <v>7063.97714</v>
      </c>
      <c r="L351" s="107">
        <f aca="true" t="shared" si="46" ref="L351:L379">H351/$H$283</f>
        <v>0.0010274153583792894</v>
      </c>
    </row>
    <row r="352" spans="1:12" s="43" customFormat="1" ht="10.5">
      <c r="A352" s="10">
        <v>4140</v>
      </c>
      <c r="C352" s="43" t="s">
        <v>482</v>
      </c>
      <c r="D352" s="44">
        <v>77787.1</v>
      </c>
      <c r="E352" s="44"/>
      <c r="F352" s="44"/>
      <c r="G352" s="44"/>
      <c r="H352" s="46"/>
      <c r="I352" s="45"/>
      <c r="J352" s="45"/>
      <c r="K352" s="45"/>
      <c r="L352" s="105">
        <f t="shared" si="46"/>
        <v>0</v>
      </c>
    </row>
    <row r="353" spans="1:12" s="43" customFormat="1" ht="10.5">
      <c r="A353" s="10">
        <v>4141</v>
      </c>
      <c r="C353" s="43" t="s">
        <v>483</v>
      </c>
      <c r="D353" s="44"/>
      <c r="E353" s="44"/>
      <c r="F353" s="44"/>
      <c r="G353" s="44"/>
      <c r="H353" s="46">
        <v>13913684.88</v>
      </c>
      <c r="I353" s="45"/>
      <c r="J353" s="45"/>
      <c r="K353" s="45"/>
      <c r="L353" s="105">
        <f t="shared" si="46"/>
        <v>0.0010118332246869146</v>
      </c>
    </row>
    <row r="354" spans="1:12" s="43" customFormat="1" ht="10.5">
      <c r="A354" s="10">
        <v>4142</v>
      </c>
      <c r="C354" s="43" t="s">
        <v>484</v>
      </c>
      <c r="D354" s="44">
        <v>155565.01</v>
      </c>
      <c r="E354" s="44">
        <v>200000</v>
      </c>
      <c r="F354" s="44">
        <v>200000</v>
      </c>
      <c r="G354" s="44">
        <v>200000</v>
      </c>
      <c r="H354" s="46">
        <v>214269.4</v>
      </c>
      <c r="I354" s="45">
        <f>H354/D354*100</f>
        <v>137.73624287363847</v>
      </c>
      <c r="J354" s="45">
        <f>H354/F354*100</f>
        <v>107.13470000000001</v>
      </c>
      <c r="K354" s="45">
        <f>+H354/$G354*100</f>
        <v>107.13470000000001</v>
      </c>
      <c r="L354" s="105">
        <f t="shared" si="46"/>
        <v>1.5582133692374555E-05</v>
      </c>
    </row>
    <row r="355" spans="1:12" ht="12.75">
      <c r="A355" s="34"/>
      <c r="D355" s="16"/>
      <c r="E355" s="16"/>
      <c r="H355" s="32"/>
      <c r="I355" s="31"/>
      <c r="J355" s="31"/>
      <c r="K355" s="31"/>
      <c r="L355" s="103"/>
    </row>
    <row r="356" spans="1:12" s="54" customFormat="1" ht="15">
      <c r="A356" s="53">
        <v>42</v>
      </c>
      <c r="C356" s="54" t="s">
        <v>485</v>
      </c>
      <c r="D356" s="20">
        <f>D358</f>
        <v>2216701272.87</v>
      </c>
      <c r="E356" s="20">
        <f>E358</f>
        <v>1465673700</v>
      </c>
      <c r="F356" s="20">
        <f>F358</f>
        <v>1601191760</v>
      </c>
      <c r="G356" s="20">
        <f>G358</f>
        <v>1715604882</v>
      </c>
      <c r="H356" s="22">
        <f>H358</f>
        <v>977760615.68</v>
      </c>
      <c r="I356" s="21">
        <f>H356/D356*100</f>
        <v>44.10881284035521</v>
      </c>
      <c r="J356" s="21">
        <f>H356/F356*100</f>
        <v>61.064554546546</v>
      </c>
      <c r="K356" s="21">
        <f>+H356/$G356*100</f>
        <v>56.992179606073194</v>
      </c>
      <c r="L356" s="100">
        <f t="shared" si="46"/>
        <v>0.0711048644027762</v>
      </c>
    </row>
    <row r="357" spans="1:12" ht="12.75">
      <c r="A357" s="34"/>
      <c r="D357" s="16"/>
      <c r="E357" s="16"/>
      <c r="H357" s="32"/>
      <c r="I357" s="31"/>
      <c r="J357" s="31"/>
      <c r="K357" s="31"/>
      <c r="L357" s="103"/>
    </row>
    <row r="358" spans="1:12" s="37" customFormat="1" ht="12.75">
      <c r="A358" s="36">
        <v>420</v>
      </c>
      <c r="C358" s="37" t="s">
        <v>486</v>
      </c>
      <c r="D358" s="38">
        <f>SUM(D359:D367)</f>
        <v>2216701272.87</v>
      </c>
      <c r="E358" s="38">
        <f>SUM(E359:E367)</f>
        <v>1465673700</v>
      </c>
      <c r="F358" s="38">
        <f>SUM(F359:F367)</f>
        <v>1601191760</v>
      </c>
      <c r="G358" s="38">
        <f>SUM(G359:G367)</f>
        <v>1715604882</v>
      </c>
      <c r="H358" s="41">
        <f>SUM(H359:H367)</f>
        <v>977760615.68</v>
      </c>
      <c r="I358" s="40">
        <f>H358/D358*100</f>
        <v>44.10881284035521</v>
      </c>
      <c r="J358" s="40">
        <f>H358/F358*100</f>
        <v>61.064554546546</v>
      </c>
      <c r="K358" s="40">
        <f aca="true" t="shared" si="47" ref="K358:K367">+H358/$G358*100</f>
        <v>56.992179606073194</v>
      </c>
      <c r="L358" s="107">
        <f t="shared" si="46"/>
        <v>0.0711048644027762</v>
      </c>
    </row>
    <row r="359" spans="1:12" s="43" customFormat="1" ht="10.5">
      <c r="A359" s="10">
        <v>4200</v>
      </c>
      <c r="C359" s="43" t="s">
        <v>487</v>
      </c>
      <c r="D359" s="44">
        <v>48762203.51</v>
      </c>
      <c r="E359" s="44"/>
      <c r="F359" s="44"/>
      <c r="G359" s="44"/>
      <c r="H359" s="46"/>
      <c r="I359" s="45"/>
      <c r="J359" s="45"/>
      <c r="K359" s="45"/>
      <c r="L359" s="105">
        <f t="shared" si="46"/>
        <v>0</v>
      </c>
    </row>
    <row r="360" spans="1:12" s="43" customFormat="1" ht="10.5">
      <c r="A360" s="10">
        <v>4201</v>
      </c>
      <c r="C360" s="43" t="s">
        <v>488</v>
      </c>
      <c r="D360" s="44">
        <v>181043638.47</v>
      </c>
      <c r="E360" s="44">
        <v>116900000</v>
      </c>
      <c r="F360" s="44">
        <v>146900000</v>
      </c>
      <c r="G360" s="44">
        <v>146900000</v>
      </c>
      <c r="H360" s="46">
        <v>180944156.51</v>
      </c>
      <c r="I360" s="45">
        <f aca="true" t="shared" si="48" ref="I360:I367">H360/D360*100</f>
        <v>99.94505083921162</v>
      </c>
      <c r="J360" s="45">
        <f aca="true" t="shared" si="49" ref="J360:J367">H360/F360*100</f>
        <v>123.17505548672565</v>
      </c>
      <c r="K360" s="45">
        <f t="shared" si="47"/>
        <v>123.17505548672565</v>
      </c>
      <c r="L360" s="105">
        <f t="shared" si="46"/>
        <v>0.013158649987318605</v>
      </c>
    </row>
    <row r="361" spans="1:12" s="43" customFormat="1" ht="10.5">
      <c r="A361" s="10">
        <v>4202</v>
      </c>
      <c r="C361" s="43" t="s">
        <v>489</v>
      </c>
      <c r="D361" s="44">
        <v>88666563.82</v>
      </c>
      <c r="E361" s="44">
        <v>210014000</v>
      </c>
      <c r="F361" s="44">
        <v>134794000</v>
      </c>
      <c r="G361" s="44">
        <v>138447380</v>
      </c>
      <c r="H361" s="46">
        <v>107643300.96</v>
      </c>
      <c r="I361" s="45">
        <f t="shared" si="48"/>
        <v>121.4023599454291</v>
      </c>
      <c r="J361" s="45">
        <f t="shared" si="49"/>
        <v>79.85763532501447</v>
      </c>
      <c r="K361" s="45">
        <f t="shared" si="47"/>
        <v>77.75033443030847</v>
      </c>
      <c r="L361" s="105">
        <f t="shared" si="46"/>
        <v>0.007828053406819779</v>
      </c>
    </row>
    <row r="362" spans="1:12" s="43" customFormat="1" ht="10.5">
      <c r="A362" s="10">
        <v>4203</v>
      </c>
      <c r="C362" s="43" t="s">
        <v>490</v>
      </c>
      <c r="D362" s="44">
        <v>4265510.62</v>
      </c>
      <c r="E362" s="44">
        <v>8000000</v>
      </c>
      <c r="F362" s="44">
        <v>8000000</v>
      </c>
      <c r="G362" s="44">
        <v>8000000</v>
      </c>
      <c r="H362" s="46">
        <v>679290.5</v>
      </c>
      <c r="I362" s="45">
        <f t="shared" si="48"/>
        <v>15.925185998013058</v>
      </c>
      <c r="J362" s="45">
        <f t="shared" si="49"/>
        <v>8.49113125</v>
      </c>
      <c r="K362" s="45">
        <f t="shared" si="47"/>
        <v>8.49113125</v>
      </c>
      <c r="L362" s="105">
        <f t="shared" si="46"/>
        <v>4.939947275233868E-05</v>
      </c>
    </row>
    <row r="363" spans="1:12" s="43" customFormat="1" ht="10.5">
      <c r="A363" s="10">
        <v>4204</v>
      </c>
      <c r="C363" s="43" t="s">
        <v>491</v>
      </c>
      <c r="D363" s="44">
        <v>1307539988.86</v>
      </c>
      <c r="E363" s="44">
        <v>387714700</v>
      </c>
      <c r="F363" s="44">
        <v>547041600</v>
      </c>
      <c r="G363" s="44">
        <v>615401600</v>
      </c>
      <c r="H363" s="46">
        <v>306355795.59</v>
      </c>
      <c r="I363" s="45">
        <f t="shared" si="48"/>
        <v>23.429936996198585</v>
      </c>
      <c r="J363" s="45">
        <f t="shared" si="49"/>
        <v>56.00228494322918</v>
      </c>
      <c r="K363" s="45">
        <f t="shared" si="47"/>
        <v>49.781442815553284</v>
      </c>
      <c r="L363" s="105">
        <f t="shared" si="46"/>
        <v>0.02227885533033252</v>
      </c>
    </row>
    <row r="364" spans="1:12" s="43" customFormat="1" ht="10.5">
      <c r="A364" s="10">
        <v>4205</v>
      </c>
      <c r="C364" s="43" t="s">
        <v>492</v>
      </c>
      <c r="D364" s="44">
        <v>167373780.21</v>
      </c>
      <c r="E364" s="44">
        <v>121200000</v>
      </c>
      <c r="F364" s="44">
        <v>161355700</v>
      </c>
      <c r="G364" s="44">
        <v>169105700</v>
      </c>
      <c r="H364" s="46">
        <v>149962264</v>
      </c>
      <c r="I364" s="45">
        <f t="shared" si="48"/>
        <v>89.59722592860471</v>
      </c>
      <c r="J364" s="45">
        <f t="shared" si="49"/>
        <v>92.93893181337877</v>
      </c>
      <c r="K364" s="45">
        <f t="shared" si="47"/>
        <v>88.67960334867482</v>
      </c>
      <c r="L364" s="105">
        <f t="shared" si="46"/>
        <v>0.010905579828287042</v>
      </c>
    </row>
    <row r="365" spans="1:12" s="43" customFormat="1" ht="10.5">
      <c r="A365" s="10">
        <v>4206</v>
      </c>
      <c r="C365" s="43" t="s">
        <v>493</v>
      </c>
      <c r="D365" s="44">
        <v>320220147.86</v>
      </c>
      <c r="E365" s="44">
        <v>349800000</v>
      </c>
      <c r="F365" s="44">
        <v>284864760</v>
      </c>
      <c r="G365" s="44">
        <v>303101060</v>
      </c>
      <c r="H365" s="46">
        <v>50827323.39</v>
      </c>
      <c r="I365" s="45">
        <f t="shared" si="48"/>
        <v>15.872618799808208</v>
      </c>
      <c r="J365" s="45">
        <f t="shared" si="49"/>
        <v>17.842615348420072</v>
      </c>
      <c r="K365" s="45">
        <f t="shared" si="47"/>
        <v>16.76910116711568</v>
      </c>
      <c r="L365" s="105">
        <f t="shared" si="46"/>
        <v>0.0036962727682465914</v>
      </c>
    </row>
    <row r="366" spans="1:12" s="43" customFormat="1" ht="10.5">
      <c r="A366" s="10">
        <v>4207</v>
      </c>
      <c r="C366" s="43" t="s">
        <v>494</v>
      </c>
      <c r="D366" s="44">
        <v>4477560</v>
      </c>
      <c r="E366" s="44"/>
      <c r="F366" s="44">
        <v>10000000</v>
      </c>
      <c r="G366" s="44">
        <v>10154520</v>
      </c>
      <c r="H366" s="46">
        <v>14889972.02</v>
      </c>
      <c r="I366" s="45">
        <f t="shared" si="48"/>
        <v>332.5465659868321</v>
      </c>
      <c r="J366" s="45">
        <f t="shared" si="49"/>
        <v>148.8997202</v>
      </c>
      <c r="K366" s="45">
        <f t="shared" si="47"/>
        <v>146.6339326723469</v>
      </c>
      <c r="L366" s="105">
        <f t="shared" si="46"/>
        <v>0.0010828309347548292</v>
      </c>
    </row>
    <row r="367" spans="1:12" s="43" customFormat="1" ht="10.5">
      <c r="A367" s="10">
        <v>4208</v>
      </c>
      <c r="C367" s="43" t="s">
        <v>495</v>
      </c>
      <c r="D367" s="44">
        <v>94351879.52</v>
      </c>
      <c r="E367" s="44">
        <v>272045000</v>
      </c>
      <c r="F367" s="44">
        <v>308235700</v>
      </c>
      <c r="G367" s="44">
        <v>324494622</v>
      </c>
      <c r="H367" s="46">
        <v>166458512.71</v>
      </c>
      <c r="I367" s="45">
        <f t="shared" si="48"/>
        <v>176.4231020694351</v>
      </c>
      <c r="J367" s="45">
        <f t="shared" si="49"/>
        <v>54.00364484386462</v>
      </c>
      <c r="K367" s="45">
        <f t="shared" si="47"/>
        <v>51.297772420400854</v>
      </c>
      <c r="L367" s="105">
        <f t="shared" si="46"/>
        <v>0.012105222674264495</v>
      </c>
    </row>
    <row r="368" spans="1:12" ht="12.75">
      <c r="A368" s="34"/>
      <c r="D368" s="16"/>
      <c r="E368" s="16"/>
      <c r="H368" s="32"/>
      <c r="I368" s="31"/>
      <c r="J368" s="31"/>
      <c r="K368" s="31"/>
      <c r="L368" s="103"/>
    </row>
    <row r="369" spans="1:12" s="54" customFormat="1" ht="15">
      <c r="A369" s="53">
        <v>43</v>
      </c>
      <c r="C369" s="54" t="s">
        <v>496</v>
      </c>
      <c r="D369" s="20">
        <f>D371</f>
        <v>1170960739.77</v>
      </c>
      <c r="E369" s="66">
        <f>E371</f>
        <v>4853710200</v>
      </c>
      <c r="F369" s="20">
        <f>F371</f>
        <v>5471842340</v>
      </c>
      <c r="G369" s="20">
        <f>G371</f>
        <v>5307003738</v>
      </c>
      <c r="H369" s="22">
        <f>H371</f>
        <v>3824427620.0600004</v>
      </c>
      <c r="I369" s="21">
        <f>H369/D369*100</f>
        <v>326.6059646723249</v>
      </c>
      <c r="J369" s="21">
        <f>H369/F369*100</f>
        <v>69.89286939250519</v>
      </c>
      <c r="K369" s="21">
        <f>+H369/$G369*100</f>
        <v>72.06378229349572</v>
      </c>
      <c r="L369" s="100">
        <f t="shared" si="46"/>
        <v>0.27812063912338747</v>
      </c>
    </row>
    <row r="370" spans="1:12" ht="12.75">
      <c r="A370" s="34"/>
      <c r="D370" s="16"/>
      <c r="E370" s="16"/>
      <c r="H370" s="32"/>
      <c r="I370" s="31"/>
      <c r="J370" s="31"/>
      <c r="K370" s="31"/>
      <c r="L370" s="103"/>
    </row>
    <row r="371" spans="1:12" s="37" customFormat="1" ht="12.75">
      <c r="A371" s="36">
        <v>430</v>
      </c>
      <c r="C371" s="37" t="s">
        <v>497</v>
      </c>
      <c r="D371" s="38">
        <f>SUM(D372:D380)</f>
        <v>1170960739.77</v>
      </c>
      <c r="E371" s="38">
        <f>SUM(E372:E380)</f>
        <v>4853710200</v>
      </c>
      <c r="F371" s="38">
        <f>SUM(F372:F380)</f>
        <v>5471842340</v>
      </c>
      <c r="G371" s="38">
        <f>SUM(G372:G380)</f>
        <v>5307003738</v>
      </c>
      <c r="H371" s="41">
        <f>SUM(H372:H380)</f>
        <v>3824427620.0600004</v>
      </c>
      <c r="I371" s="40">
        <f>H371/D371*100</f>
        <v>326.6059646723249</v>
      </c>
      <c r="J371" s="40">
        <f aca="true" t="shared" si="50" ref="J371:J376">H371/F371*100</f>
        <v>69.89286939250519</v>
      </c>
      <c r="K371" s="40">
        <f aca="true" t="shared" si="51" ref="K371:K377">+H371/$G371*100</f>
        <v>72.06378229349572</v>
      </c>
      <c r="L371" s="107">
        <f t="shared" si="46"/>
        <v>0.27812063912338747</v>
      </c>
    </row>
    <row r="372" spans="1:12" s="43" customFormat="1" ht="12.75" hidden="1">
      <c r="A372" s="10">
        <v>4300</v>
      </c>
      <c r="C372" s="43" t="s">
        <v>498</v>
      </c>
      <c r="D372" s="44"/>
      <c r="E372" s="44"/>
      <c r="F372" s="44"/>
      <c r="G372" s="44"/>
      <c r="H372" s="32"/>
      <c r="I372" s="31" t="e">
        <f>H372/D372*100</f>
        <v>#DIV/0!</v>
      </c>
      <c r="J372" s="31" t="e">
        <f t="shared" si="50"/>
        <v>#DIV/0!</v>
      </c>
      <c r="K372" s="31" t="e">
        <f t="shared" si="51"/>
        <v>#DIV/0!</v>
      </c>
      <c r="L372" s="105">
        <f t="shared" si="46"/>
        <v>0</v>
      </c>
    </row>
    <row r="373" spans="1:12" s="43" customFormat="1" ht="10.5">
      <c r="A373" s="10">
        <v>4301</v>
      </c>
      <c r="C373" s="43" t="s">
        <v>499</v>
      </c>
      <c r="D373" s="44">
        <v>348245992.36</v>
      </c>
      <c r="E373" s="44">
        <v>591700000</v>
      </c>
      <c r="F373" s="44">
        <v>591700000</v>
      </c>
      <c r="G373" s="44">
        <v>600680600</v>
      </c>
      <c r="H373" s="46">
        <v>540723747.87</v>
      </c>
      <c r="I373" s="45">
        <f>H373/D373*100</f>
        <v>155.27063045452815</v>
      </c>
      <c r="J373" s="45">
        <f t="shared" si="50"/>
        <v>91.38478077911104</v>
      </c>
      <c r="K373" s="45">
        <f t="shared" si="51"/>
        <v>90.01851364435609</v>
      </c>
      <c r="L373" s="105">
        <f t="shared" si="46"/>
        <v>0.03932259916699338</v>
      </c>
    </row>
    <row r="374" spans="1:12" s="43" customFormat="1" ht="10.5">
      <c r="A374" s="10">
        <v>4302</v>
      </c>
      <c r="C374" s="43" t="s">
        <v>500</v>
      </c>
      <c r="D374" s="44"/>
      <c r="E374" s="44"/>
      <c r="F374" s="44">
        <v>6000000</v>
      </c>
      <c r="G374" s="44">
        <v>11323900</v>
      </c>
      <c r="H374" s="46">
        <v>116764409.03</v>
      </c>
      <c r="I374" s="45"/>
      <c r="J374" s="45">
        <f t="shared" si="50"/>
        <v>1946.0734838333333</v>
      </c>
      <c r="K374" s="45">
        <f t="shared" si="51"/>
        <v>1031.132463462235</v>
      </c>
      <c r="L374" s="105">
        <f t="shared" si="46"/>
        <v>0.00849136009162562</v>
      </c>
    </row>
    <row r="375" spans="1:12" s="43" customFormat="1" ht="10.5">
      <c r="A375" s="10">
        <v>4303</v>
      </c>
      <c r="C375" s="43" t="s">
        <v>501</v>
      </c>
      <c r="D375" s="44">
        <v>342426348.28</v>
      </c>
      <c r="E375" s="44">
        <v>1295768900</v>
      </c>
      <c r="F375" s="44">
        <v>1415277500</v>
      </c>
      <c r="G375" s="44">
        <v>2341730218</v>
      </c>
      <c r="H375" s="46">
        <f>2290768708.85-92485.85</f>
        <v>2290676223</v>
      </c>
      <c r="I375" s="45">
        <f>H375/D375*100</f>
        <v>668.9544290344526</v>
      </c>
      <c r="J375" s="45">
        <f t="shared" si="50"/>
        <v>161.85350385348457</v>
      </c>
      <c r="K375" s="45">
        <f t="shared" si="51"/>
        <v>97.81981738940007</v>
      </c>
      <c r="L375" s="105">
        <f t="shared" si="46"/>
        <v>0.1665829238926771</v>
      </c>
    </row>
    <row r="376" spans="1:12" s="43" customFormat="1" ht="10.5" hidden="1">
      <c r="A376" s="10">
        <v>4304</v>
      </c>
      <c r="C376" s="43" t="s">
        <v>502</v>
      </c>
      <c r="D376" s="44"/>
      <c r="E376" s="44"/>
      <c r="F376" s="44"/>
      <c r="G376" s="44"/>
      <c r="H376" s="46"/>
      <c r="I376" s="45" t="e">
        <f>H376/D376*100</f>
        <v>#DIV/0!</v>
      </c>
      <c r="J376" s="45" t="e">
        <f t="shared" si="50"/>
        <v>#DIV/0!</v>
      </c>
      <c r="K376" s="45" t="e">
        <f t="shared" si="51"/>
        <v>#DIV/0!</v>
      </c>
      <c r="L376" s="105">
        <f t="shared" si="46"/>
        <v>0</v>
      </c>
    </row>
    <row r="377" spans="1:12" s="43" customFormat="1" ht="10.5">
      <c r="A377" s="10">
        <v>4305</v>
      </c>
      <c r="C377" s="43" t="s">
        <v>503</v>
      </c>
      <c r="D377" s="44">
        <v>36630075.17</v>
      </c>
      <c r="E377" s="44"/>
      <c r="F377" s="44"/>
      <c r="G377" s="44">
        <v>135088676</v>
      </c>
      <c r="H377" s="46">
        <v>226918809.13</v>
      </c>
      <c r="I377" s="45">
        <f>H377/D377*100</f>
        <v>619.4876971364948</v>
      </c>
      <c r="J377" s="45"/>
      <c r="K377" s="45">
        <f t="shared" si="51"/>
        <v>167.9776690756818</v>
      </c>
      <c r="L377" s="105">
        <f t="shared" si="46"/>
        <v>0.01650202605308123</v>
      </c>
    </row>
    <row r="378" spans="1:12" s="43" customFormat="1" ht="10.5">
      <c r="A378" s="10">
        <v>4306</v>
      </c>
      <c r="C378" s="43" t="s">
        <v>504</v>
      </c>
      <c r="D378" s="44"/>
      <c r="E378" s="44"/>
      <c r="F378" s="44"/>
      <c r="G378" s="44"/>
      <c r="H378" s="46">
        <v>6180000</v>
      </c>
      <c r="I378" s="45"/>
      <c r="J378" s="45"/>
      <c r="K378" s="45"/>
      <c r="L378" s="105">
        <f t="shared" si="46"/>
        <v>0.0004494229517554758</v>
      </c>
    </row>
    <row r="379" spans="1:12" s="43" customFormat="1" ht="10.5">
      <c r="A379" s="10">
        <v>4307</v>
      </c>
      <c r="C379" s="43" t="s">
        <v>505</v>
      </c>
      <c r="D379" s="44">
        <v>443658323.96</v>
      </c>
      <c r="E379" s="44">
        <v>2966241300</v>
      </c>
      <c r="F379" s="44">
        <v>3458864840</v>
      </c>
      <c r="G379" s="44">
        <v>2218180344</v>
      </c>
      <c r="H379" s="46">
        <v>643164431.03</v>
      </c>
      <c r="I379" s="45">
        <f>H379/D379*100</f>
        <v>144.96841291948516</v>
      </c>
      <c r="J379" s="45">
        <f>H379/F379*100</f>
        <v>18.59466792666001</v>
      </c>
      <c r="K379" s="45">
        <f>+H379/$G379*100</f>
        <v>28.995137062218955</v>
      </c>
      <c r="L379" s="105">
        <f t="shared" si="46"/>
        <v>0.046772306967254644</v>
      </c>
    </row>
    <row r="380" spans="1:12" ht="12.75" hidden="1">
      <c r="A380" s="34">
        <v>4308</v>
      </c>
      <c r="C380" t="s">
        <v>506</v>
      </c>
      <c r="D380" s="16"/>
      <c r="E380" s="16"/>
      <c r="H380" s="32"/>
      <c r="I380" s="31" t="e">
        <f>H380/D380*100</f>
        <v>#DIV/0!</v>
      </c>
      <c r="J380" s="31" t="e">
        <f>H380/F380*100</f>
        <v>#DIV/0!</v>
      </c>
      <c r="K380" s="31" t="e">
        <f>+H380/$G380*100</f>
        <v>#DIV/0!</v>
      </c>
      <c r="L380" s="32"/>
    </row>
    <row r="381" spans="1:12" ht="12.75">
      <c r="A381" s="34"/>
      <c r="D381" s="16"/>
      <c r="E381" s="16"/>
      <c r="H381" s="32"/>
      <c r="I381" s="31"/>
      <c r="J381" s="31"/>
      <c r="K381" s="31"/>
      <c r="L381" s="32"/>
    </row>
    <row r="382" spans="1:12" ht="15">
      <c r="A382" s="53"/>
      <c r="B382" s="69" t="s">
        <v>507</v>
      </c>
      <c r="C382" s="75" t="s">
        <v>508</v>
      </c>
      <c r="D382" s="20">
        <f>D7-D283</f>
        <v>257478381.8199997</v>
      </c>
      <c r="E382" s="66">
        <f>E7-E283</f>
        <v>-2385030000</v>
      </c>
      <c r="F382" s="20">
        <f>F7-F283</f>
        <v>-2778428125</v>
      </c>
      <c r="G382" s="20">
        <f>G7-G283</f>
        <v>-2778428125</v>
      </c>
      <c r="H382" s="22">
        <f>H7-H283</f>
        <v>-1170471326.9800014</v>
      </c>
      <c r="I382" s="21">
        <f>H382/D382*100</f>
        <v>-454.59013634716143</v>
      </c>
      <c r="J382" s="21">
        <f>H382/F382*100</f>
        <v>42.127104762877444</v>
      </c>
      <c r="K382" s="21">
        <f>+H382/$G382*100</f>
        <v>42.127104762877444</v>
      </c>
      <c r="L382" s="22"/>
    </row>
    <row r="383" spans="1:12" ht="15">
      <c r="A383" s="76"/>
      <c r="B383" s="17"/>
      <c r="C383" s="77" t="s">
        <v>509</v>
      </c>
      <c r="D383" s="24"/>
      <c r="E383" s="24"/>
      <c r="H383" s="32"/>
      <c r="I383" s="31"/>
      <c r="J383" s="31"/>
      <c r="K383" s="31"/>
      <c r="L383" s="32"/>
    </row>
    <row r="384" spans="1:12" ht="12.75" customHeight="1">
      <c r="A384" s="34"/>
      <c r="C384" s="78" t="s">
        <v>510</v>
      </c>
      <c r="D384" s="16"/>
      <c r="E384" s="16"/>
      <c r="H384" s="32"/>
      <c r="I384" s="31"/>
      <c r="J384" s="31"/>
      <c r="K384" s="31"/>
      <c r="L384" s="32"/>
    </row>
    <row r="385" spans="1:12" ht="6.75" customHeight="1">
      <c r="A385" s="34"/>
      <c r="D385" s="16"/>
      <c r="E385" s="16"/>
      <c r="H385" s="32"/>
      <c r="I385" s="31"/>
      <c r="J385" s="31"/>
      <c r="K385" s="31"/>
      <c r="L385" s="32"/>
    </row>
    <row r="386" spans="1:12" ht="18">
      <c r="A386" s="79" t="s">
        <v>511</v>
      </c>
      <c r="B386" s="2" t="s">
        <v>512</v>
      </c>
      <c r="D386" s="16"/>
      <c r="E386" s="16"/>
      <c r="H386" s="32"/>
      <c r="I386" s="31"/>
      <c r="J386" s="31"/>
      <c r="K386" s="31"/>
      <c r="L386" s="32"/>
    </row>
    <row r="387" spans="1:12" ht="12.75">
      <c r="A387" s="99"/>
      <c r="B387" s="7"/>
      <c r="C387" s="7"/>
      <c r="D387" s="98"/>
      <c r="E387" s="98"/>
      <c r="H387" s="32"/>
      <c r="I387" s="31"/>
      <c r="J387" s="31"/>
      <c r="K387" s="31"/>
      <c r="L387" s="32"/>
    </row>
    <row r="388" spans="1:12" ht="12.75" hidden="1">
      <c r="A388" s="10" t="s">
        <v>2</v>
      </c>
      <c r="B388" s="11"/>
      <c r="C388" s="11" t="s">
        <v>3</v>
      </c>
      <c r="D388" s="11" t="s">
        <v>4</v>
      </c>
      <c r="E388" s="11" t="s">
        <v>6</v>
      </c>
      <c r="H388" s="32"/>
      <c r="I388" s="31" t="e">
        <f>H388/D388*100</f>
        <v>#VALUE!</v>
      </c>
      <c r="J388" s="31"/>
      <c r="K388" s="31"/>
      <c r="L388" s="32"/>
    </row>
    <row r="389" spans="1:12" ht="12.75" hidden="1">
      <c r="A389" s="10" t="s">
        <v>9</v>
      </c>
      <c r="B389" s="11"/>
      <c r="C389" s="11"/>
      <c r="D389" s="11">
        <v>1999</v>
      </c>
      <c r="E389" s="11">
        <v>2000</v>
      </c>
      <c r="H389" s="32"/>
      <c r="I389" s="31">
        <f>H389/D389*100</f>
        <v>0</v>
      </c>
      <c r="J389" s="31"/>
      <c r="K389" s="31"/>
      <c r="L389" s="32"/>
    </row>
    <row r="390" spans="1:12" ht="13.5" hidden="1" thickBot="1">
      <c r="A390" s="14">
        <v>1</v>
      </c>
      <c r="B390" s="14"/>
      <c r="C390" s="14">
        <v>2</v>
      </c>
      <c r="D390" s="14">
        <v>3</v>
      </c>
      <c r="E390" s="14">
        <v>4</v>
      </c>
      <c r="H390" s="32"/>
      <c r="I390" s="31">
        <f>H390/D390*100</f>
        <v>0</v>
      </c>
      <c r="J390" s="31"/>
      <c r="K390" s="31"/>
      <c r="L390" s="32"/>
    </row>
    <row r="391" spans="1:12" ht="12.75" hidden="1">
      <c r="A391" s="34"/>
      <c r="D391" s="16"/>
      <c r="E391" s="16"/>
      <c r="H391" s="32"/>
      <c r="I391" s="31" t="e">
        <f>H391/D391*100</f>
        <v>#DIV/0!</v>
      </c>
      <c r="J391" s="31"/>
      <c r="K391" s="31"/>
      <c r="L391" s="32"/>
    </row>
    <row r="392" spans="1:12" ht="15">
      <c r="A392" s="53">
        <v>75</v>
      </c>
      <c r="B392" s="69" t="s">
        <v>513</v>
      </c>
      <c r="C392" s="75" t="s">
        <v>514</v>
      </c>
      <c r="D392" s="20">
        <f>D396+D400</f>
        <v>32163959.49</v>
      </c>
      <c r="E392" s="20">
        <f>E396+E400</f>
        <v>0</v>
      </c>
      <c r="F392" s="20">
        <f>F396+F400</f>
        <v>0</v>
      </c>
      <c r="G392" s="20">
        <f>G396+G400</f>
        <v>0</v>
      </c>
      <c r="H392" s="22">
        <f>H396+H400</f>
        <v>0</v>
      </c>
      <c r="I392" s="21"/>
      <c r="J392" s="21"/>
      <c r="K392" s="21"/>
      <c r="L392" s="22"/>
    </row>
    <row r="393" spans="1:12" ht="15">
      <c r="A393" s="53"/>
      <c r="B393" s="54"/>
      <c r="C393" s="81" t="s">
        <v>515</v>
      </c>
      <c r="D393" s="20"/>
      <c r="E393" s="20"/>
      <c r="H393" s="32"/>
      <c r="I393" s="31"/>
      <c r="J393" s="31"/>
      <c r="K393" s="31"/>
      <c r="L393" s="32"/>
    </row>
    <row r="394" spans="1:12" ht="12.75">
      <c r="A394" s="74"/>
      <c r="B394" s="26"/>
      <c r="C394" s="73" t="s">
        <v>516</v>
      </c>
      <c r="D394" s="27"/>
      <c r="E394" s="27"/>
      <c r="H394" s="32"/>
      <c r="I394" s="31"/>
      <c r="J394" s="31"/>
      <c r="K394" s="31"/>
      <c r="L394" s="32"/>
    </row>
    <row r="395" spans="1:12" ht="6.75" customHeight="1">
      <c r="A395" s="34"/>
      <c r="D395" s="16"/>
      <c r="E395" s="16"/>
      <c r="H395" s="32"/>
      <c r="I395" s="31"/>
      <c r="J395" s="31"/>
      <c r="K395" s="31"/>
      <c r="L395" s="32"/>
    </row>
    <row r="396" spans="1:12" ht="12.75">
      <c r="A396" s="36">
        <v>750</v>
      </c>
      <c r="B396" s="37"/>
      <c r="C396" s="37" t="s">
        <v>517</v>
      </c>
      <c r="D396" s="38">
        <f>SUM(D397:D398)</f>
        <v>32163959.49</v>
      </c>
      <c r="E396" s="38">
        <f>SUM(E397:E398)</f>
        <v>0</v>
      </c>
      <c r="F396" s="38">
        <f>SUM(F397:F398)</f>
        <v>0</v>
      </c>
      <c r="G396" s="38">
        <f>SUM(G397:G398)</f>
        <v>0</v>
      </c>
      <c r="H396" s="41">
        <f>SUM(H397:H398)</f>
        <v>0</v>
      </c>
      <c r="I396" s="40"/>
      <c r="J396" s="40"/>
      <c r="K396" s="40"/>
      <c r="L396" s="41"/>
    </row>
    <row r="397" spans="1:12" s="83" customFormat="1" ht="12.75" hidden="1">
      <c r="A397" s="82">
        <v>7500</v>
      </c>
      <c r="C397" s="83" t="s">
        <v>518</v>
      </c>
      <c r="D397" s="84"/>
      <c r="E397" s="84"/>
      <c r="F397" s="16"/>
      <c r="G397" s="16"/>
      <c r="H397" s="32"/>
      <c r="I397" s="31"/>
      <c r="J397" s="31"/>
      <c r="K397" s="31"/>
      <c r="L397" s="32"/>
    </row>
    <row r="398" spans="1:12" ht="12.75" hidden="1">
      <c r="A398" s="34">
        <v>7503</v>
      </c>
      <c r="C398" t="s">
        <v>519</v>
      </c>
      <c r="D398" s="16">
        <v>32163959.49</v>
      </c>
      <c r="E398" s="16"/>
      <c r="H398" s="32"/>
      <c r="I398" s="31"/>
      <c r="J398" s="31"/>
      <c r="K398" s="31"/>
      <c r="L398" s="32"/>
    </row>
    <row r="399" spans="1:12" ht="6.75" customHeight="1">
      <c r="A399" s="34"/>
      <c r="D399" s="16"/>
      <c r="E399" s="16"/>
      <c r="H399" s="32"/>
      <c r="I399" s="31"/>
      <c r="J399" s="31"/>
      <c r="K399" s="31"/>
      <c r="L399" s="32"/>
    </row>
    <row r="400" spans="1:12" ht="12.75">
      <c r="A400" s="36">
        <v>751</v>
      </c>
      <c r="B400" s="37"/>
      <c r="C400" s="37" t="s">
        <v>520</v>
      </c>
      <c r="D400" s="38">
        <f>SUM(D401:D403)</f>
        <v>0</v>
      </c>
      <c r="E400" s="38">
        <f>SUM(E401:E403)</f>
        <v>0</v>
      </c>
      <c r="F400" s="38">
        <f>SUM(F401:F403)</f>
        <v>0</v>
      </c>
      <c r="G400" s="38">
        <f>SUM(G401:G403)</f>
        <v>0</v>
      </c>
      <c r="H400" s="41">
        <f>SUM(H401:H403)</f>
        <v>0</v>
      </c>
      <c r="I400" s="40"/>
      <c r="J400" s="40"/>
      <c r="K400" s="40"/>
      <c r="L400" s="41"/>
    </row>
    <row r="401" spans="1:12" ht="12.75" hidden="1">
      <c r="A401" s="34">
        <v>7510</v>
      </c>
      <c r="C401" t="s">
        <v>521</v>
      </c>
      <c r="D401" s="16"/>
      <c r="E401" s="16"/>
      <c r="H401" s="32"/>
      <c r="I401" s="31"/>
      <c r="J401" s="31"/>
      <c r="K401" s="31"/>
      <c r="L401" s="32"/>
    </row>
    <row r="402" spans="1:12" ht="12.75" hidden="1">
      <c r="A402" s="34">
        <v>7511</v>
      </c>
      <c r="C402" t="s">
        <v>522</v>
      </c>
      <c r="D402" s="16"/>
      <c r="E402" s="16"/>
      <c r="H402" s="32"/>
      <c r="I402" s="31"/>
      <c r="J402" s="31"/>
      <c r="K402" s="31"/>
      <c r="L402" s="32"/>
    </row>
    <row r="403" spans="1:12" ht="12.75" hidden="1">
      <c r="A403" s="34">
        <v>7512</v>
      </c>
      <c r="C403" t="s">
        <v>523</v>
      </c>
      <c r="D403" s="16"/>
      <c r="E403" s="16"/>
      <c r="H403" s="32"/>
      <c r="I403" s="31"/>
      <c r="J403" s="31"/>
      <c r="K403" s="31"/>
      <c r="L403" s="32"/>
    </row>
    <row r="404" spans="1:12" ht="7.5" customHeight="1">
      <c r="A404" s="34"/>
      <c r="D404" s="16"/>
      <c r="E404" s="16"/>
      <c r="H404" s="32"/>
      <c r="I404" s="31"/>
      <c r="J404" s="31"/>
      <c r="K404" s="31"/>
      <c r="L404" s="32"/>
    </row>
    <row r="405" spans="1:12" s="54" customFormat="1" ht="15">
      <c r="A405" s="53">
        <v>44</v>
      </c>
      <c r="B405" s="69" t="s">
        <v>524</v>
      </c>
      <c r="C405" s="75" t="s">
        <v>525</v>
      </c>
      <c r="D405" s="20">
        <f>D408+D417</f>
        <v>0</v>
      </c>
      <c r="E405" s="20">
        <f>E408+E417</f>
        <v>0</v>
      </c>
      <c r="F405" s="20">
        <f>F408+F417</f>
        <v>18000000</v>
      </c>
      <c r="G405" s="20">
        <f>G408+G417</f>
        <v>18000000</v>
      </c>
      <c r="H405" s="22">
        <f>H408+H417</f>
        <v>15128014.7</v>
      </c>
      <c r="I405" s="21"/>
      <c r="J405" s="21">
        <f>H405/F405*100</f>
        <v>84.04452611111111</v>
      </c>
      <c r="K405" s="21">
        <f>+H405/$G405*100</f>
        <v>84.04452611111111</v>
      </c>
      <c r="L405" s="22"/>
    </row>
    <row r="406" spans="1:12" s="54" customFormat="1" ht="15">
      <c r="A406" s="53"/>
      <c r="C406" s="81" t="s">
        <v>526</v>
      </c>
      <c r="D406" s="20"/>
      <c r="E406" s="20"/>
      <c r="F406" s="16"/>
      <c r="G406" s="16"/>
      <c r="H406" s="32"/>
      <c r="I406" s="31"/>
      <c r="J406" s="31"/>
      <c r="K406" s="31"/>
      <c r="L406" s="32"/>
    </row>
    <row r="407" spans="1:12" ht="6.75" customHeight="1">
      <c r="A407" s="34"/>
      <c r="D407" s="16"/>
      <c r="E407" s="16"/>
      <c r="H407" s="32"/>
      <c r="I407" s="31"/>
      <c r="J407" s="31"/>
      <c r="K407" s="31"/>
      <c r="L407" s="32"/>
    </row>
    <row r="408" spans="1:12" s="37" customFormat="1" ht="12.75">
      <c r="A408" s="36">
        <v>440</v>
      </c>
      <c r="C408" s="37" t="s">
        <v>527</v>
      </c>
      <c r="D408" s="38">
        <f>SUM(D409:D415)</f>
        <v>0</v>
      </c>
      <c r="E408" s="38">
        <f>SUM(E409:E415)</f>
        <v>0</v>
      </c>
      <c r="F408" s="38">
        <f>SUM(F409:F415)</f>
        <v>18000000</v>
      </c>
      <c r="G408" s="38">
        <f>SUM(G409:G415)</f>
        <v>18000000</v>
      </c>
      <c r="H408" s="41">
        <f>SUM(H409:H415)</f>
        <v>15128014.7</v>
      </c>
      <c r="I408" s="40"/>
      <c r="J408" s="40">
        <f aca="true" t="shared" si="52" ref="J408:J415">H408/F408*100</f>
        <v>84.04452611111111</v>
      </c>
      <c r="K408" s="40">
        <f aca="true" t="shared" si="53" ref="K408:K415">+H408/$G408*100</f>
        <v>84.04452611111111</v>
      </c>
      <c r="L408" s="41"/>
    </row>
    <row r="409" spans="1:12" ht="12.75" hidden="1">
      <c r="A409" s="34">
        <v>4400</v>
      </c>
      <c r="C409" t="s">
        <v>528</v>
      </c>
      <c r="D409" s="16"/>
      <c r="E409" s="16"/>
      <c r="H409" s="32"/>
      <c r="I409" s="31"/>
      <c r="J409" s="31" t="e">
        <f t="shared" si="52"/>
        <v>#DIV/0!</v>
      </c>
      <c r="K409" s="31" t="e">
        <f t="shared" si="53"/>
        <v>#DIV/0!</v>
      </c>
      <c r="L409" s="32"/>
    </row>
    <row r="410" spans="1:12" ht="12.75" hidden="1">
      <c r="A410" s="34">
        <v>4401</v>
      </c>
      <c r="C410" t="s">
        <v>529</v>
      </c>
      <c r="D410" s="16"/>
      <c r="E410" s="16"/>
      <c r="H410" s="32"/>
      <c r="I410" s="31"/>
      <c r="J410" s="31" t="e">
        <f t="shared" si="52"/>
        <v>#DIV/0!</v>
      </c>
      <c r="K410" s="31" t="e">
        <f t="shared" si="53"/>
        <v>#DIV/0!</v>
      </c>
      <c r="L410" s="32"/>
    </row>
    <row r="411" spans="1:12" ht="12.75" hidden="1">
      <c r="A411" s="34">
        <v>4402</v>
      </c>
      <c r="C411" t="s">
        <v>530</v>
      </c>
      <c r="D411" s="16"/>
      <c r="E411" s="16"/>
      <c r="H411" s="32"/>
      <c r="I411" s="31"/>
      <c r="J411" s="31" t="e">
        <f t="shared" si="52"/>
        <v>#DIV/0!</v>
      </c>
      <c r="K411" s="31" t="e">
        <f t="shared" si="53"/>
        <v>#DIV/0!</v>
      </c>
      <c r="L411" s="32"/>
    </row>
    <row r="412" spans="1:12" ht="12.75" hidden="1">
      <c r="A412" s="34">
        <v>4403</v>
      </c>
      <c r="C412" t="s">
        <v>531</v>
      </c>
      <c r="D412" s="16"/>
      <c r="E412" s="16"/>
      <c r="H412" s="32"/>
      <c r="I412" s="31"/>
      <c r="J412" s="31" t="e">
        <f t="shared" si="52"/>
        <v>#DIV/0!</v>
      </c>
      <c r="K412" s="31" t="e">
        <f t="shared" si="53"/>
        <v>#DIV/0!</v>
      </c>
      <c r="L412" s="32"/>
    </row>
    <row r="413" spans="1:12" s="43" customFormat="1" ht="10.5">
      <c r="A413" s="10">
        <v>4404</v>
      </c>
      <c r="C413" s="43" t="s">
        <v>532</v>
      </c>
      <c r="D413" s="44"/>
      <c r="E413" s="44"/>
      <c r="F413" s="44">
        <v>18000000</v>
      </c>
      <c r="G413" s="44">
        <v>18000000</v>
      </c>
      <c r="H413" s="46">
        <v>15128014.7</v>
      </c>
      <c r="I413" s="45"/>
      <c r="J413" s="45">
        <f t="shared" si="52"/>
        <v>84.04452611111111</v>
      </c>
      <c r="K413" s="45">
        <f t="shared" si="53"/>
        <v>84.04452611111111</v>
      </c>
      <c r="L413" s="46"/>
    </row>
    <row r="414" spans="1:12" ht="12.75" hidden="1">
      <c r="A414" s="34">
        <v>4405</v>
      </c>
      <c r="C414" t="s">
        <v>533</v>
      </c>
      <c r="D414" s="16"/>
      <c r="E414" s="16"/>
      <c r="H414" s="32"/>
      <c r="I414" s="31"/>
      <c r="J414" s="31" t="e">
        <f t="shared" si="52"/>
        <v>#DIV/0!</v>
      </c>
      <c r="K414" s="31" t="e">
        <f t="shared" si="53"/>
        <v>#DIV/0!</v>
      </c>
      <c r="L414" s="32"/>
    </row>
    <row r="415" spans="1:12" ht="12.75" hidden="1">
      <c r="A415" s="34">
        <v>4406</v>
      </c>
      <c r="C415" t="s">
        <v>534</v>
      </c>
      <c r="D415" s="16"/>
      <c r="E415" s="16"/>
      <c r="H415" s="32"/>
      <c r="I415" s="31"/>
      <c r="J415" s="31" t="e">
        <f t="shared" si="52"/>
        <v>#DIV/0!</v>
      </c>
      <c r="K415" s="31" t="e">
        <f t="shared" si="53"/>
        <v>#DIV/0!</v>
      </c>
      <c r="L415" s="32"/>
    </row>
    <row r="416" spans="1:12" ht="6.75" customHeight="1">
      <c r="A416" s="34"/>
      <c r="D416" s="16"/>
      <c r="E416" s="16"/>
      <c r="H416" s="32"/>
      <c r="I416" s="31"/>
      <c r="J416" s="31"/>
      <c r="K416" s="31"/>
      <c r="L416" s="32"/>
    </row>
    <row r="417" spans="1:12" s="37" customFormat="1" ht="12.75">
      <c r="A417" s="36">
        <v>441</v>
      </c>
      <c r="C417" s="37" t="s">
        <v>535</v>
      </c>
      <c r="D417" s="38">
        <f>SUM(D418:D422)</f>
        <v>0</v>
      </c>
      <c r="E417" s="38">
        <f>SUM(E418:E422)</f>
        <v>0</v>
      </c>
      <c r="F417" s="38">
        <f>SUM(F418:F422)</f>
        <v>0</v>
      </c>
      <c r="G417" s="38">
        <f>SUM(G418:G422)</f>
        <v>0</v>
      </c>
      <c r="H417" s="41">
        <f>SUM(H418:H422)</f>
        <v>0</v>
      </c>
      <c r="I417" s="40"/>
      <c r="J417" s="40"/>
      <c r="K417" s="40"/>
      <c r="L417" s="41"/>
    </row>
    <row r="418" spans="1:12" ht="12.75" hidden="1">
      <c r="A418" s="34">
        <v>4410</v>
      </c>
      <c r="C418" t="s">
        <v>536</v>
      </c>
      <c r="D418" s="16"/>
      <c r="E418" s="16"/>
      <c r="H418" s="32"/>
      <c r="I418" s="31" t="e">
        <f>H418/D418*100</f>
        <v>#DIV/0!</v>
      </c>
      <c r="J418" s="31"/>
      <c r="K418" s="31"/>
      <c r="L418" s="32"/>
    </row>
    <row r="419" spans="1:12" ht="12.75" hidden="1">
      <c r="A419" s="34">
        <v>4411</v>
      </c>
      <c r="C419" t="s">
        <v>537</v>
      </c>
      <c r="D419" s="16"/>
      <c r="E419" s="16"/>
      <c r="H419" s="32"/>
      <c r="I419" s="31" t="e">
        <f>H419/D419*100</f>
        <v>#DIV/0!</v>
      </c>
      <c r="J419" s="31"/>
      <c r="K419" s="31"/>
      <c r="L419" s="32"/>
    </row>
    <row r="420" spans="1:12" ht="12.75" hidden="1">
      <c r="A420" s="34">
        <v>4412</v>
      </c>
      <c r="C420" t="s">
        <v>538</v>
      </c>
      <c r="D420" s="16"/>
      <c r="E420" s="16"/>
      <c r="H420" s="32"/>
      <c r="I420" s="31" t="e">
        <f>H420/D420*100</f>
        <v>#DIV/0!</v>
      </c>
      <c r="J420" s="31"/>
      <c r="K420" s="31"/>
      <c r="L420" s="32"/>
    </row>
    <row r="421" spans="1:12" ht="12.75" hidden="1">
      <c r="A421" s="34">
        <v>4413</v>
      </c>
      <c r="C421" t="s">
        <v>539</v>
      </c>
      <c r="D421" s="16"/>
      <c r="E421" s="16"/>
      <c r="H421" s="32"/>
      <c r="I421" s="31" t="e">
        <f>H421/D421*100</f>
        <v>#DIV/0!</v>
      </c>
      <c r="J421" s="31"/>
      <c r="K421" s="31"/>
      <c r="L421" s="32"/>
    </row>
    <row r="422" spans="1:12" ht="12.75" hidden="1">
      <c r="A422" s="34">
        <v>4414</v>
      </c>
      <c r="C422" t="s">
        <v>540</v>
      </c>
      <c r="D422" s="16"/>
      <c r="E422" s="16"/>
      <c r="H422" s="32"/>
      <c r="I422" s="31" t="e">
        <f>H422/D422*100</f>
        <v>#DIV/0!</v>
      </c>
      <c r="J422" s="31"/>
      <c r="K422" s="31"/>
      <c r="L422" s="32"/>
    </row>
    <row r="423" spans="1:12" ht="7.5" customHeight="1">
      <c r="A423" s="34"/>
      <c r="D423" s="16"/>
      <c r="E423" s="16"/>
      <c r="H423" s="32"/>
      <c r="I423" s="31"/>
      <c r="J423" s="31"/>
      <c r="K423" s="31"/>
      <c r="L423" s="32"/>
    </row>
    <row r="424" spans="1:12" s="54" customFormat="1" ht="15">
      <c r="A424" s="53"/>
      <c r="B424" s="69" t="s">
        <v>541</v>
      </c>
      <c r="C424" s="75" t="s">
        <v>542</v>
      </c>
      <c r="D424" s="20">
        <f>D392-D405</f>
        <v>32163959.49</v>
      </c>
      <c r="E424" s="20">
        <f>E392-E405</f>
        <v>0</v>
      </c>
      <c r="F424" s="20">
        <f>F392-F405</f>
        <v>-18000000</v>
      </c>
      <c r="G424" s="20">
        <f>G392-G405</f>
        <v>-18000000</v>
      </c>
      <c r="H424" s="22">
        <f>H392-H405</f>
        <v>-15128014.7</v>
      </c>
      <c r="I424" s="21"/>
      <c r="J424" s="21">
        <f>H424/F424*100</f>
        <v>84.04452611111111</v>
      </c>
      <c r="K424" s="21">
        <f>+H424/$G424*100</f>
        <v>84.04452611111111</v>
      </c>
      <c r="L424" s="22"/>
    </row>
    <row r="425" spans="1:12" s="54" customFormat="1" ht="15">
      <c r="A425" s="53"/>
      <c r="C425" s="85" t="s">
        <v>543</v>
      </c>
      <c r="D425" s="20"/>
      <c r="E425" s="20"/>
      <c r="F425" s="16"/>
      <c r="G425" s="16"/>
      <c r="H425" s="32"/>
      <c r="I425" s="31"/>
      <c r="J425" s="31"/>
      <c r="K425" s="31"/>
      <c r="L425" s="32"/>
    </row>
    <row r="426" spans="1:12" s="54" customFormat="1" ht="15">
      <c r="A426" s="53"/>
      <c r="C426" s="77" t="s">
        <v>544</v>
      </c>
      <c r="D426" s="20"/>
      <c r="E426" s="20"/>
      <c r="F426" s="16"/>
      <c r="G426" s="16"/>
      <c r="H426" s="32"/>
      <c r="I426" s="31"/>
      <c r="J426" s="31"/>
      <c r="K426" s="31"/>
      <c r="L426" s="32"/>
    </row>
    <row r="427" spans="1:12" ht="7.5" customHeight="1">
      <c r="A427" s="34"/>
      <c r="D427" s="16"/>
      <c r="E427" s="16"/>
      <c r="H427" s="32"/>
      <c r="I427" s="31"/>
      <c r="J427" s="31"/>
      <c r="K427" s="31"/>
      <c r="L427" s="32"/>
    </row>
    <row r="428" spans="1:12" s="54" customFormat="1" ht="15">
      <c r="A428" s="53"/>
      <c r="B428" s="69" t="s">
        <v>545</v>
      </c>
      <c r="C428" s="75" t="s">
        <v>546</v>
      </c>
      <c r="D428" s="20">
        <f>(D7+D392)-(D283+D405)</f>
        <v>289642341.30999947</v>
      </c>
      <c r="E428" s="20">
        <f>(E7+E392)-(E283+E405)</f>
        <v>-2385030000</v>
      </c>
      <c r="F428" s="20">
        <f>(F7+F392)-(F283+F405)</f>
        <v>-2796428125</v>
      </c>
      <c r="G428" s="20">
        <f>(G7+G392)-(G283+G405)</f>
        <v>-2796428125</v>
      </c>
      <c r="H428" s="22">
        <f>(H7+H392)-(H283+H405)</f>
        <v>-1185599341.6800022</v>
      </c>
      <c r="I428" s="21"/>
      <c r="J428" s="21">
        <f>H428/F428*100</f>
        <v>42.39691809279032</v>
      </c>
      <c r="K428" s="21">
        <f>+H428/$G428*100</f>
        <v>42.39691809279032</v>
      </c>
      <c r="L428" s="22"/>
    </row>
    <row r="429" spans="1:12" s="54" customFormat="1" ht="15">
      <c r="A429" s="53"/>
      <c r="C429" s="77" t="s">
        <v>547</v>
      </c>
      <c r="D429" s="20"/>
      <c r="E429" s="20"/>
      <c r="F429" s="16"/>
      <c r="G429" s="16"/>
      <c r="H429" s="32"/>
      <c r="I429" s="31"/>
      <c r="J429" s="31"/>
      <c r="K429" s="31"/>
      <c r="L429" s="32"/>
    </row>
    <row r="430" spans="1:12" ht="12.75">
      <c r="A430" s="34"/>
      <c r="C430" t="s">
        <v>548</v>
      </c>
      <c r="D430" s="16"/>
      <c r="E430" s="16"/>
      <c r="H430" s="32"/>
      <c r="I430" s="31"/>
      <c r="J430" s="31"/>
      <c r="K430" s="31"/>
      <c r="L430" s="32"/>
    </row>
    <row r="431" spans="1:12" ht="12.75">
      <c r="A431" s="34"/>
      <c r="C431" t="s">
        <v>549</v>
      </c>
      <c r="D431" s="16"/>
      <c r="E431" s="16"/>
      <c r="H431" s="32"/>
      <c r="I431" s="31"/>
      <c r="J431" s="31"/>
      <c r="K431" s="31"/>
      <c r="L431" s="32"/>
    </row>
    <row r="432" spans="1:12" ht="12.75">
      <c r="A432" s="34"/>
      <c r="D432" s="16"/>
      <c r="E432" s="16"/>
      <c r="H432" s="32"/>
      <c r="I432" s="31"/>
      <c r="J432" s="31"/>
      <c r="K432" s="31"/>
      <c r="L432" s="32"/>
    </row>
    <row r="433" spans="1:12" s="2" customFormat="1" ht="18">
      <c r="A433" s="79" t="s">
        <v>550</v>
      </c>
      <c r="B433" s="2" t="s">
        <v>551</v>
      </c>
      <c r="D433" s="86"/>
      <c r="E433" s="86"/>
      <c r="F433" s="16"/>
      <c r="G433" s="16"/>
      <c r="H433" s="32"/>
      <c r="I433" s="31"/>
      <c r="J433" s="31"/>
      <c r="K433" s="31"/>
      <c r="L433" s="32"/>
    </row>
    <row r="434" spans="1:12" ht="12.75" hidden="1">
      <c r="A434" s="80"/>
      <c r="B434" s="7"/>
      <c r="C434" s="7"/>
      <c r="D434" s="9"/>
      <c r="E434" s="9"/>
      <c r="H434" s="32"/>
      <c r="I434" s="31"/>
      <c r="J434" s="31"/>
      <c r="K434" s="31"/>
      <c r="L434" s="32"/>
    </row>
    <row r="435" spans="1:12" ht="12.75" hidden="1">
      <c r="A435" s="10" t="s">
        <v>2</v>
      </c>
      <c r="B435" s="11"/>
      <c r="C435" s="11" t="s">
        <v>3</v>
      </c>
      <c r="D435" s="11" t="s">
        <v>4</v>
      </c>
      <c r="E435" s="11" t="s">
        <v>6</v>
      </c>
      <c r="H435" s="32"/>
      <c r="I435" s="31"/>
      <c r="J435" s="31"/>
      <c r="K435" s="31"/>
      <c r="L435" s="32"/>
    </row>
    <row r="436" spans="1:12" ht="12.75" hidden="1">
      <c r="A436" s="10" t="s">
        <v>9</v>
      </c>
      <c r="B436" s="11"/>
      <c r="C436" s="11"/>
      <c r="D436" s="11">
        <v>1999</v>
      </c>
      <c r="E436" s="11">
        <v>2000</v>
      </c>
      <c r="H436" s="32"/>
      <c r="I436" s="31"/>
      <c r="J436" s="31"/>
      <c r="K436" s="31"/>
      <c r="L436" s="32"/>
    </row>
    <row r="437" spans="1:12" ht="13.5" hidden="1" thickBot="1">
      <c r="A437" s="14">
        <v>1</v>
      </c>
      <c r="B437" s="14"/>
      <c r="C437" s="14">
        <v>2</v>
      </c>
      <c r="D437" s="14">
        <v>3</v>
      </c>
      <c r="E437" s="14">
        <v>4</v>
      </c>
      <c r="H437" s="32"/>
      <c r="I437" s="31"/>
      <c r="J437" s="31"/>
      <c r="K437" s="31"/>
      <c r="L437" s="32"/>
    </row>
    <row r="438" spans="1:12" ht="12.75">
      <c r="A438" s="34"/>
      <c r="D438" s="16"/>
      <c r="E438" s="16"/>
      <c r="H438" s="32"/>
      <c r="I438" s="31"/>
      <c r="J438" s="31"/>
      <c r="K438" s="31"/>
      <c r="L438" s="32"/>
    </row>
    <row r="439" spans="1:12" s="54" customFormat="1" ht="15">
      <c r="A439" s="87">
        <v>50</v>
      </c>
      <c r="B439" s="69" t="s">
        <v>552</v>
      </c>
      <c r="C439" s="70" t="s">
        <v>553</v>
      </c>
      <c r="D439" s="20">
        <f>D441</f>
        <v>0</v>
      </c>
      <c r="E439" s="20">
        <f>E441</f>
        <v>0</v>
      </c>
      <c r="F439" s="20">
        <f>F441</f>
        <v>0</v>
      </c>
      <c r="G439" s="20">
        <f>G441</f>
        <v>0</v>
      </c>
      <c r="H439" s="22">
        <f>H441</f>
        <v>0</v>
      </c>
      <c r="I439" s="21"/>
      <c r="J439" s="21"/>
      <c r="K439" s="21"/>
      <c r="L439" s="22"/>
    </row>
    <row r="440" spans="1:12" ht="7.5" customHeight="1">
      <c r="A440" s="34"/>
      <c r="D440" s="16"/>
      <c r="E440" s="16"/>
      <c r="H440" s="32"/>
      <c r="I440" s="31"/>
      <c r="J440" s="31"/>
      <c r="K440" s="31"/>
      <c r="L440" s="32"/>
    </row>
    <row r="441" spans="1:12" s="37" customFormat="1" ht="12.75">
      <c r="A441" s="36">
        <v>500</v>
      </c>
      <c r="C441" s="37" t="s">
        <v>554</v>
      </c>
      <c r="D441" s="38">
        <f>D442</f>
        <v>0</v>
      </c>
      <c r="E441" s="38">
        <f>E442</f>
        <v>0</v>
      </c>
      <c r="F441" s="38">
        <f>F442</f>
        <v>0</v>
      </c>
      <c r="G441" s="38">
        <f>G442</f>
        <v>0</v>
      </c>
      <c r="H441" s="41">
        <f>H442</f>
        <v>0</v>
      </c>
      <c r="I441" s="40"/>
      <c r="J441" s="40"/>
      <c r="K441" s="40"/>
      <c r="L441" s="41"/>
    </row>
    <row r="442" spans="1:12" s="43" customFormat="1" ht="10.5">
      <c r="A442" s="10">
        <v>5001</v>
      </c>
      <c r="C442" s="43" t="s">
        <v>555</v>
      </c>
      <c r="D442" s="44"/>
      <c r="E442" s="44"/>
      <c r="F442" s="44"/>
      <c r="G442" s="44"/>
      <c r="H442" s="46"/>
      <c r="I442" s="45"/>
      <c r="J442" s="45"/>
      <c r="K442" s="45"/>
      <c r="L442" s="46"/>
    </row>
    <row r="443" spans="1:12" ht="7.5" customHeight="1">
      <c r="A443" s="34"/>
      <c r="D443" s="16"/>
      <c r="E443" s="16"/>
      <c r="H443" s="32"/>
      <c r="I443" s="31"/>
      <c r="J443" s="31"/>
      <c r="K443" s="31"/>
      <c r="L443" s="32"/>
    </row>
    <row r="444" spans="1:12" s="54" customFormat="1" ht="15">
      <c r="A444" s="53">
        <v>55</v>
      </c>
      <c r="B444" s="69" t="s">
        <v>556</v>
      </c>
      <c r="C444" s="70" t="s">
        <v>557</v>
      </c>
      <c r="D444" s="20">
        <f>D446</f>
        <v>13090282.75</v>
      </c>
      <c r="E444" s="20">
        <f>E446</f>
        <v>83780000</v>
      </c>
      <c r="F444" s="20">
        <f>F446</f>
        <v>11200000</v>
      </c>
      <c r="G444" s="20">
        <f>G446</f>
        <v>11200000</v>
      </c>
      <c r="H444" s="22">
        <f>H446</f>
        <v>10409679.110000001</v>
      </c>
      <c r="I444" s="21">
        <f>H444/D444*100</f>
        <v>79.5221868679651</v>
      </c>
      <c r="J444" s="21">
        <f>H444/F444*100</f>
        <v>92.94356348214286</v>
      </c>
      <c r="K444" s="21">
        <f>+H444/$G444*100</f>
        <v>92.94356348214286</v>
      </c>
      <c r="L444" s="22"/>
    </row>
    <row r="445" spans="1:12" ht="7.5" customHeight="1">
      <c r="A445" s="34"/>
      <c r="D445" s="16"/>
      <c r="E445" s="16"/>
      <c r="H445" s="32"/>
      <c r="I445" s="31"/>
      <c r="J445" s="31"/>
      <c r="K445" s="31"/>
      <c r="L445" s="32"/>
    </row>
    <row r="446" spans="1:12" s="37" customFormat="1" ht="12.75">
      <c r="A446" s="36">
        <v>550</v>
      </c>
      <c r="C446" s="37" t="s">
        <v>558</v>
      </c>
      <c r="D446" s="38">
        <f>SUM(D447:D448)</f>
        <v>13090282.75</v>
      </c>
      <c r="E446" s="38">
        <f>SUM(E447:E448)</f>
        <v>83780000</v>
      </c>
      <c r="F446" s="38">
        <f>SUM(F447:F448)</f>
        <v>11200000</v>
      </c>
      <c r="G446" s="38">
        <f>SUM(G447:G448)</f>
        <v>11200000</v>
      </c>
      <c r="H446" s="41">
        <f>SUM(H447:H448)</f>
        <v>10409679.110000001</v>
      </c>
      <c r="I446" s="40">
        <f>H446/D446*100</f>
        <v>79.5221868679651</v>
      </c>
      <c r="J446" s="40">
        <f>H446/F446*100</f>
        <v>92.94356348214286</v>
      </c>
      <c r="K446" s="40">
        <f>+H446/$G446*100</f>
        <v>92.94356348214286</v>
      </c>
      <c r="L446" s="41"/>
    </row>
    <row r="447" spans="1:12" s="43" customFormat="1" ht="10.5">
      <c r="A447" s="88">
        <v>5501</v>
      </c>
      <c r="C447" s="43" t="s">
        <v>559</v>
      </c>
      <c r="D447" s="44">
        <v>13090282.75</v>
      </c>
      <c r="E447" s="44">
        <v>11200000</v>
      </c>
      <c r="F447" s="44">
        <v>11200000</v>
      </c>
      <c r="G447" s="44">
        <v>11200000</v>
      </c>
      <c r="H447" s="46">
        <v>1511976.8</v>
      </c>
      <c r="I447" s="45">
        <f>H447/D447*100</f>
        <v>11.550375411104088</v>
      </c>
      <c r="J447" s="45">
        <f>H447/F447*100</f>
        <v>13.49979285714286</v>
      </c>
      <c r="K447" s="45">
        <f>+H447/$G447*100</f>
        <v>13.49979285714286</v>
      </c>
      <c r="L447" s="46"/>
    </row>
    <row r="448" spans="1:12" s="43" customFormat="1" ht="12.75">
      <c r="A448" s="88">
        <v>5503</v>
      </c>
      <c r="C448" s="43" t="s">
        <v>560</v>
      </c>
      <c r="D448" s="44"/>
      <c r="E448" s="44">
        <v>72580000</v>
      </c>
      <c r="F448" s="44"/>
      <c r="G448" s="44"/>
      <c r="H448" s="46">
        <v>8897702.31</v>
      </c>
      <c r="I448" s="45"/>
      <c r="J448" s="45"/>
      <c r="K448" s="45"/>
      <c r="L448" s="32"/>
    </row>
    <row r="449" spans="1:12" ht="7.5" customHeight="1">
      <c r="A449" s="89"/>
      <c r="D449" s="16"/>
      <c r="E449" s="16"/>
      <c r="H449" s="32"/>
      <c r="I449" s="31"/>
      <c r="J449" s="31"/>
      <c r="K449" s="31"/>
      <c r="L449" s="32"/>
    </row>
    <row r="450" spans="1:12" s="54" customFormat="1" ht="15">
      <c r="A450" s="90"/>
      <c r="B450" s="69" t="s">
        <v>561</v>
      </c>
      <c r="C450" s="70" t="s">
        <v>562</v>
      </c>
      <c r="D450" s="20">
        <f>D439-D444</f>
        <v>-13090282.75</v>
      </c>
      <c r="E450" s="20">
        <f>E439-E444</f>
        <v>-83780000</v>
      </c>
      <c r="F450" s="20">
        <f>F439-F444</f>
        <v>-11200000</v>
      </c>
      <c r="G450" s="20">
        <f>G439-G444</f>
        <v>-11200000</v>
      </c>
      <c r="H450" s="22">
        <f>H439-H444</f>
        <v>-10409679.110000001</v>
      </c>
      <c r="I450" s="21">
        <f>H450/D450*100</f>
        <v>79.5221868679651</v>
      </c>
      <c r="J450" s="21">
        <f>H450/F450*100</f>
        <v>92.94356348214286</v>
      </c>
      <c r="K450" s="21">
        <f>+H450/$G450*100</f>
        <v>92.94356348214286</v>
      </c>
      <c r="L450" s="22"/>
    </row>
    <row r="451" spans="1:12" ht="7.5" customHeight="1">
      <c r="A451" s="89"/>
      <c r="B451" s="11"/>
      <c r="D451" s="16"/>
      <c r="E451" s="16"/>
      <c r="H451" s="32"/>
      <c r="I451" s="31"/>
      <c r="J451" s="31"/>
      <c r="K451" s="31"/>
      <c r="L451" s="32"/>
    </row>
    <row r="452" spans="2:12" s="54" customFormat="1" ht="15">
      <c r="B452" s="69" t="s">
        <v>563</v>
      </c>
      <c r="C452" s="75" t="s">
        <v>564</v>
      </c>
      <c r="D452" s="20">
        <f>D428+D450</f>
        <v>276552058.55999947</v>
      </c>
      <c r="E452" s="20">
        <f>E428+E450</f>
        <v>-2468810000</v>
      </c>
      <c r="F452" s="20">
        <f>F428+F450</f>
        <v>-2807628125</v>
      </c>
      <c r="G452" s="20">
        <f>G428+G450</f>
        <v>-2807628125</v>
      </c>
      <c r="H452" s="22">
        <f>H428+H450</f>
        <v>-1196009020.790002</v>
      </c>
      <c r="I452" s="21"/>
      <c r="J452" s="21">
        <f>H452/F452*100</f>
        <v>42.59855534785263</v>
      </c>
      <c r="K452" s="21">
        <f>+H452/$G452*100</f>
        <v>42.59855534785263</v>
      </c>
      <c r="L452" s="22"/>
    </row>
    <row r="453" spans="3:12" s="54" customFormat="1" ht="15">
      <c r="C453" s="85" t="s">
        <v>565</v>
      </c>
      <c r="D453" s="20"/>
      <c r="E453" s="20"/>
      <c r="F453" s="16"/>
      <c r="G453" s="16"/>
      <c r="H453" s="32"/>
      <c r="I453" s="31"/>
      <c r="J453" s="31"/>
      <c r="K453" s="31"/>
      <c r="L453" s="32"/>
    </row>
    <row r="454" spans="1:12" ht="12" customHeight="1">
      <c r="A454" s="78"/>
      <c r="C454" s="91" t="s">
        <v>566</v>
      </c>
      <c r="D454" s="16"/>
      <c r="E454" s="16"/>
      <c r="H454" s="32"/>
      <c r="I454" s="31"/>
      <c r="J454" s="31"/>
      <c r="K454" s="31"/>
      <c r="L454" s="32"/>
    </row>
    <row r="455" spans="1:12" s="30" customFormat="1" ht="15">
      <c r="A455" s="23"/>
      <c r="B455" s="18" t="s">
        <v>567</v>
      </c>
      <c r="C455" s="92" t="s">
        <v>568</v>
      </c>
      <c r="D455" s="66">
        <v>2531076066</v>
      </c>
      <c r="E455" s="66">
        <v>2468810000</v>
      </c>
      <c r="F455" s="66">
        <v>2807628125</v>
      </c>
      <c r="G455" s="66">
        <v>2807628125</v>
      </c>
      <c r="H455" s="68">
        <v>2807628125</v>
      </c>
      <c r="I455" s="67">
        <f>H455/D455*100</f>
        <v>110.92626423658022</v>
      </c>
      <c r="J455" s="67">
        <f>H455/F455*100</f>
        <v>100</v>
      </c>
      <c r="K455" s="67">
        <f>+H455/$G455*100</f>
        <v>100</v>
      </c>
      <c r="L455" s="68"/>
    </row>
    <row r="456" spans="1:12" s="17" customFormat="1" ht="15">
      <c r="A456" s="93"/>
      <c r="B456" s="30"/>
      <c r="C456" s="94" t="s">
        <v>569</v>
      </c>
      <c r="D456" s="24"/>
      <c r="E456" s="24"/>
      <c r="F456" s="16"/>
      <c r="G456" s="16"/>
      <c r="H456" s="32"/>
      <c r="I456" s="31"/>
      <c r="J456" s="31"/>
      <c r="K456" s="31"/>
      <c r="L456" s="32"/>
    </row>
    <row r="457" spans="1:12" s="17" customFormat="1" ht="15">
      <c r="A457" s="93"/>
      <c r="B457" s="18" t="s">
        <v>570</v>
      </c>
      <c r="C457" s="92" t="s">
        <v>568</v>
      </c>
      <c r="D457" s="66">
        <f>D452+D455</f>
        <v>2807628124.5599995</v>
      </c>
      <c r="E457" s="66">
        <f>E452+E455</f>
        <v>0</v>
      </c>
      <c r="F457" s="66">
        <f>F452+F455</f>
        <v>0</v>
      </c>
      <c r="G457" s="66">
        <f>G452+G455</f>
        <v>0</v>
      </c>
      <c r="H457" s="68">
        <f>H452+H455</f>
        <v>1611619104.209998</v>
      </c>
      <c r="I457" s="67">
        <f>H457/D457*100</f>
        <v>57.401444661143096</v>
      </c>
      <c r="J457" s="67"/>
      <c r="K457" s="67"/>
      <c r="L457" s="68"/>
    </row>
    <row r="458" spans="1:12" s="17" customFormat="1" ht="15">
      <c r="A458" s="93"/>
      <c r="B458" s="30"/>
      <c r="C458" s="94" t="s">
        <v>571</v>
      </c>
      <c r="D458" s="24"/>
      <c r="E458" s="24"/>
      <c r="F458" s="16"/>
      <c r="G458" s="16"/>
      <c r="H458" s="32"/>
      <c r="I458" s="31"/>
      <c r="J458" s="31"/>
      <c r="K458" s="31"/>
      <c r="L458" s="32"/>
    </row>
    <row r="459" spans="1:12" s="17" customFormat="1" ht="9" customHeight="1">
      <c r="A459" s="93"/>
      <c r="B459" s="30"/>
      <c r="C459" s="96"/>
      <c r="D459" s="24"/>
      <c r="E459" s="24"/>
      <c r="F459" s="16"/>
      <c r="G459" s="16"/>
      <c r="H459" s="32"/>
      <c r="I459" s="31"/>
      <c r="J459" s="31"/>
      <c r="K459" s="31"/>
      <c r="L459" s="32"/>
    </row>
    <row r="460" spans="1:12" s="63" customFormat="1" ht="12.75">
      <c r="A460" s="73"/>
      <c r="D460" s="39"/>
      <c r="E460" s="39"/>
      <c r="F460" s="39"/>
      <c r="G460" s="39"/>
      <c r="H460" s="64"/>
      <c r="I460" s="28"/>
      <c r="J460" s="28"/>
      <c r="K460" s="28"/>
      <c r="L460" s="64"/>
    </row>
    <row r="461" spans="1:5" ht="12.75">
      <c r="A461" s="78"/>
      <c r="D461" s="16"/>
      <c r="E461" s="16"/>
    </row>
    <row r="462" spans="1:5" ht="12.75">
      <c r="A462" s="78"/>
      <c r="D462" s="16"/>
      <c r="E462" s="16"/>
    </row>
    <row r="463" spans="1:5" ht="12.75">
      <c r="A463" s="78"/>
      <c r="D463" s="16"/>
      <c r="E463" s="16"/>
    </row>
    <row r="464" spans="1:5" ht="12.75">
      <c r="A464" s="78"/>
      <c r="D464" s="16"/>
      <c r="E464" s="16"/>
    </row>
    <row r="465" spans="1:5" ht="12.75">
      <c r="A465" s="78"/>
      <c r="D465" s="16"/>
      <c r="E465" s="16"/>
    </row>
    <row r="466" spans="1:5" ht="12.75">
      <c r="A466" s="78"/>
      <c r="D466" s="16"/>
      <c r="E466" s="16"/>
    </row>
    <row r="467" spans="1:5" ht="12.75">
      <c r="A467" s="78"/>
      <c r="D467" s="16"/>
      <c r="E467" s="16"/>
    </row>
    <row r="468" spans="1:5" ht="12.75">
      <c r="A468" s="78"/>
      <c r="D468" s="16"/>
      <c r="E468" s="16"/>
    </row>
    <row r="469" spans="1:5" ht="12.75">
      <c r="A469" s="78"/>
      <c r="D469" s="16"/>
      <c r="E469" s="16"/>
    </row>
    <row r="470" spans="1:5" ht="12.75">
      <c r="A470" s="78"/>
      <c r="D470" s="16"/>
      <c r="E470" s="16"/>
    </row>
    <row r="471" spans="1:5" ht="12.75">
      <c r="A471" s="78"/>
      <c r="D471" s="16"/>
      <c r="E471" s="16"/>
    </row>
    <row r="472" spans="1:5" ht="12.75">
      <c r="A472" s="78"/>
      <c r="D472" s="16"/>
      <c r="E472" s="16"/>
    </row>
    <row r="473" spans="1:5" ht="12.75">
      <c r="A473" s="78"/>
      <c r="D473" s="16"/>
      <c r="E473" s="16"/>
    </row>
    <row r="474" spans="1:5" ht="12.75">
      <c r="A474" s="78"/>
      <c r="D474" s="16"/>
      <c r="E474" s="16"/>
    </row>
    <row r="475" spans="1:5" ht="12.75">
      <c r="A475" s="78"/>
      <c r="D475" s="16"/>
      <c r="E475" s="16"/>
    </row>
    <row r="476" spans="1:5" ht="12.75">
      <c r="A476" s="78"/>
      <c r="D476" s="16"/>
      <c r="E476" s="16"/>
    </row>
    <row r="477" spans="1:5" ht="12.75">
      <c r="A477" s="78"/>
      <c r="D477" s="16"/>
      <c r="E477" s="16"/>
    </row>
    <row r="478" spans="1:5" ht="12.75">
      <c r="A478" s="78"/>
      <c r="D478" s="16"/>
      <c r="E478" s="16"/>
    </row>
    <row r="479" spans="1:5" ht="12.75">
      <c r="A479" s="78"/>
      <c r="D479" s="16"/>
      <c r="E479" s="16"/>
    </row>
    <row r="480" spans="1:5" ht="12.75">
      <c r="A480" s="78"/>
      <c r="D480" s="16"/>
      <c r="E480" s="16"/>
    </row>
    <row r="481" spans="1:5" ht="12.75">
      <c r="A481" s="78"/>
      <c r="D481" s="16"/>
      <c r="E481" s="16"/>
    </row>
    <row r="482" spans="1:5" ht="12.75">
      <c r="A482" s="78"/>
      <c r="D482" s="16"/>
      <c r="E482" s="16"/>
    </row>
    <row r="483" spans="1:5" ht="12.75">
      <c r="A483" s="78"/>
      <c r="D483" s="16"/>
      <c r="E483" s="16"/>
    </row>
    <row r="484" spans="1:5" ht="12.75">
      <c r="A484" s="78"/>
      <c r="D484" s="16"/>
      <c r="E484" s="16"/>
    </row>
    <row r="485" spans="1:5" ht="12.75">
      <c r="A485" s="78"/>
      <c r="D485" s="16"/>
      <c r="E485" s="16"/>
    </row>
    <row r="486" spans="1:5" ht="12.75">
      <c r="A486" s="78"/>
      <c r="D486" s="16"/>
      <c r="E486" s="16"/>
    </row>
    <row r="487" spans="1:5" ht="12.75">
      <c r="A487" s="78"/>
      <c r="D487" s="16"/>
      <c r="E487" s="16"/>
    </row>
    <row r="488" spans="1:5" ht="12.75">
      <c r="A488" s="78"/>
      <c r="D488" s="16"/>
      <c r="E488" s="16"/>
    </row>
    <row r="489" spans="1:5" ht="12.75">
      <c r="A489" s="78"/>
      <c r="D489" s="16"/>
      <c r="E489" s="16"/>
    </row>
    <row r="490" spans="1:5" ht="12.75">
      <c r="A490" s="78"/>
      <c r="D490" s="16"/>
      <c r="E490" s="16"/>
    </row>
    <row r="491" spans="1:5" ht="12.75">
      <c r="A491" s="78"/>
      <c r="D491" s="16"/>
      <c r="E491" s="16"/>
    </row>
    <row r="492" spans="1:5" ht="12.75">
      <c r="A492" s="78"/>
      <c r="D492" s="16"/>
      <c r="E492" s="16"/>
    </row>
    <row r="493" spans="1:5" ht="12.75">
      <c r="A493" s="78"/>
      <c r="D493" s="16"/>
      <c r="E493" s="16"/>
    </row>
    <row r="494" spans="1:5" ht="12.75">
      <c r="A494" s="78"/>
      <c r="D494" s="16"/>
      <c r="E494" s="16"/>
    </row>
    <row r="495" spans="1:5" ht="12.75">
      <c r="A495" s="78"/>
      <c r="D495" s="16"/>
      <c r="E495" s="16"/>
    </row>
  </sheetData>
  <printOptions gridLines="1"/>
  <pageMargins left="0.31" right="0.45" top="0.37" bottom="0.34" header="0" footer="0"/>
  <pageSetup horizontalDpi="300" verticalDpi="300" orientation="landscape" paperSize="9" scale="79" r:id="rId1"/>
  <rowBreaks count="1" manualBreakCount="1">
    <brk id="3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germ</cp:lastModifiedBy>
  <cp:lastPrinted>2001-03-16T13:36:24Z</cp:lastPrinted>
  <dcterms:created xsi:type="dcterms:W3CDTF">2000-09-11T07:15:09Z</dcterms:created>
  <dcterms:modified xsi:type="dcterms:W3CDTF">2001-04-17T12:57:20Z</dcterms:modified>
  <cp:category/>
  <cp:version/>
  <cp:contentType/>
  <cp:contentStatus/>
</cp:coreProperties>
</file>